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Akhilesh Reddy\OneDrive - Lincus, Inc(1)\Documents\WP Supporting Docs\SWCR004-01- ECM for walk-ins\SWCR004 Walk-in ECM-Step3-Solaris-09.06.19\"/>
    </mc:Choice>
  </mc:AlternateContent>
  <xr:revisionPtr revIDLastSave="0" documentId="13_ncr:1_{71ED6956-7110-4ADF-A518-D3E8E077C9B1}" xr6:coauthVersionLast="41" xr6:coauthVersionMax="41" xr10:uidLastSave="{00000000-0000-0000-0000-000000000000}"/>
  <bookViews>
    <workbookView xWindow="20370" yWindow="-3630" windowWidth="29040" windowHeight="15840" activeTab="1" xr2:uid="{81DF87AA-8DF9-486F-BC74-2B5BF1E54311}"/>
  </bookViews>
  <sheets>
    <sheet name="SCE 2018 draft workpaper models" sheetId="1" r:id="rId1"/>
    <sheet name="ADL 1996"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55" i="2" l="1"/>
  <c r="Q155" i="2"/>
  <c r="AM173" i="2" l="1"/>
  <c r="AL173" i="2"/>
  <c r="AM171" i="2"/>
  <c r="AL171" i="2"/>
  <c r="U158" i="2" l="1"/>
  <c r="Z160" i="2"/>
  <c r="Y160" i="2"/>
  <c r="W160" i="2"/>
  <c r="V159" i="2"/>
  <c r="V160" i="2" s="1"/>
  <c r="V158" i="2"/>
  <c r="Z159" i="2"/>
  <c r="Y158" i="2"/>
  <c r="Y157" i="2"/>
  <c r="Y159" i="2" s="1"/>
  <c r="Y155" i="2"/>
  <c r="W158" i="2"/>
  <c r="W159" i="2" s="1"/>
  <c r="T158" i="2"/>
  <c r="Q158" i="2"/>
  <c r="W157" i="2"/>
  <c r="W155" i="2"/>
  <c r="T157" i="2"/>
  <c r="Q157" i="2"/>
  <c r="Q173" i="2"/>
  <c r="U187" i="2"/>
  <c r="T187" i="2"/>
  <c r="U189" i="2"/>
  <c r="T189" i="2"/>
  <c r="T142" i="2"/>
  <c r="T143" i="2"/>
  <c r="T152" i="2" s="1"/>
  <c r="Q152" i="2"/>
  <c r="T159" i="2" l="1"/>
  <c r="T160" i="2" s="1"/>
  <c r="U159" i="2"/>
  <c r="U160" i="2" s="1"/>
  <c r="Q159" i="2"/>
  <c r="Q160" i="2" s="1"/>
  <c r="X178" i="2"/>
  <c r="S194" i="2" l="1" a="1"/>
  <c r="S194" i="2" s="1"/>
  <c r="R194" i="2" a="1"/>
  <c r="R194" i="2" s="1"/>
  <c r="Q194" i="2" a="1"/>
  <c r="Q194" i="2" s="1"/>
  <c r="P194" i="2" a="1"/>
  <c r="P194" i="2" s="1"/>
  <c r="R193" i="2"/>
  <c r="R192" i="2"/>
  <c r="R191" i="2"/>
  <c r="R190" i="2"/>
  <c r="R189" i="2"/>
  <c r="R188" i="2"/>
  <c r="R187" i="2"/>
  <c r="R186" i="2"/>
  <c r="R185" i="2"/>
  <c r="R184" i="2"/>
  <c r="S193" i="2"/>
  <c r="S192" i="2"/>
  <c r="S191" i="2"/>
  <c r="S190" i="2"/>
  <c r="S189" i="2"/>
  <c r="S188" i="2"/>
  <c r="S187" i="2"/>
  <c r="S186" i="2"/>
  <c r="S185" i="2"/>
  <c r="S184" i="2"/>
  <c r="Q185" i="2"/>
  <c r="Q186" i="2"/>
  <c r="Q187" i="2"/>
  <c r="Q188" i="2"/>
  <c r="Q189" i="2"/>
  <c r="Q190" i="2"/>
  <c r="Q191" i="2"/>
  <c r="Q192" i="2"/>
  <c r="Q193" i="2"/>
  <c r="Q184" i="2"/>
  <c r="P193" i="2"/>
  <c r="P192" i="2"/>
  <c r="P191" i="2"/>
  <c r="P190" i="2"/>
  <c r="P189" i="2"/>
  <c r="P188" i="2"/>
  <c r="P187" i="2"/>
  <c r="P186" i="2"/>
  <c r="P185" i="2"/>
  <c r="P184" i="2"/>
  <c r="AD173" i="2"/>
  <c r="AH173" i="2"/>
  <c r="AH174" i="2"/>
  <c r="AH175" i="2"/>
  <c r="AH176" i="2"/>
  <c r="AH177" i="2"/>
  <c r="X173" i="2" l="1"/>
  <c r="AF173" i="2"/>
  <c r="U203" i="2"/>
  <c r="U202" i="2"/>
  <c r="U201" i="2"/>
  <c r="Y201" i="2"/>
  <c r="Y203" i="2"/>
  <c r="Y202" i="2"/>
  <c r="AC203" i="2"/>
  <c r="AC202" i="2"/>
  <c r="AC201" i="2"/>
  <c r="AF202" i="2"/>
  <c r="AF203" i="2"/>
  <c r="AF207" i="2" s="1"/>
  <c r="AF204" i="2"/>
  <c r="AF201" i="2"/>
  <c r="AD204" i="2"/>
  <c r="AD203" i="2"/>
  <c r="AD202" i="2"/>
  <c r="AD201" i="2"/>
  <c r="AD207" i="2" s="1"/>
  <c r="AH169" i="2"/>
  <c r="AH170" i="2"/>
  <c r="AH171" i="2"/>
  <c r="AH172" i="2"/>
  <c r="AH168" i="2"/>
  <c r="AH178" i="2" s="1"/>
  <c r="J31" i="1"/>
  <c r="I31" i="1"/>
  <c r="E31" i="1"/>
  <c r="K31" i="1"/>
  <c r="E30" i="1"/>
  <c r="F30" i="1"/>
  <c r="G30" i="1"/>
  <c r="H30" i="1"/>
  <c r="AF172" i="2"/>
  <c r="T149" i="2" s="1"/>
  <c r="AF171" i="2"/>
  <c r="Q149" i="2" s="1"/>
  <c r="AF170" i="2"/>
  <c r="AF169" i="2"/>
  <c r="AF168" i="2"/>
  <c r="AD172" i="2"/>
  <c r="AD171" i="2"/>
  <c r="AD170" i="2"/>
  <c r="AD169" i="2"/>
  <c r="AD168" i="2"/>
  <c r="AD178" i="2" s="1"/>
  <c r="AF178" i="2" l="1"/>
  <c r="X169" i="2"/>
  <c r="Z169" i="2"/>
  <c r="AB169" i="2"/>
  <c r="X170" i="2"/>
  <c r="Z170" i="2"/>
  <c r="AB170" i="2"/>
  <c r="X171" i="2"/>
  <c r="Z171" i="2"/>
  <c r="AB171" i="2"/>
  <c r="X172" i="2"/>
  <c r="Z172" i="2"/>
  <c r="Z178" i="2" s="1"/>
  <c r="AB172" i="2"/>
  <c r="Z173" i="2"/>
  <c r="AB173" i="2"/>
  <c r="Z174" i="2"/>
  <c r="AB174" i="2"/>
  <c r="Z175" i="2"/>
  <c r="AB175" i="2"/>
  <c r="Z176" i="2"/>
  <c r="AB176" i="2"/>
  <c r="Z177" i="2"/>
  <c r="AB177" i="2"/>
  <c r="AB168" i="2"/>
  <c r="AB178" i="2" s="1"/>
  <c r="Z168" i="2"/>
  <c r="X168" i="2"/>
  <c r="P170" i="2"/>
  <c r="P172" i="2"/>
  <c r="T146" i="2"/>
  <c r="T147" i="2" s="1"/>
  <c r="T150" i="2" s="1"/>
  <c r="Q146" i="2"/>
  <c r="Q147" i="2" s="1"/>
  <c r="Q150" i="2" s="1"/>
  <c r="N4" i="1" l="1"/>
  <c r="AC4" i="1"/>
  <c r="AG4" i="1"/>
  <c r="AF4" i="1"/>
  <c r="AE4" i="1"/>
  <c r="AD4" i="1"/>
  <c r="AB4" i="1"/>
  <c r="AA4" i="1"/>
  <c r="Z4" i="1"/>
  <c r="Y4" i="1"/>
  <c r="X4" i="1"/>
  <c r="W4" i="1"/>
  <c r="V4" i="1"/>
  <c r="U4" i="1"/>
  <c r="T4" i="1"/>
  <c r="S4" i="1"/>
  <c r="R4" i="1"/>
  <c r="Q4" i="1"/>
  <c r="P4" i="1"/>
  <c r="O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tc={3AF1886C-067A-44F1-AAB0-34D522CF42F1}</author>
    <author>tc={8D1C7491-1DC9-4C49-8885-83236332B84E}</author>
    <author>Nicholas Fette</author>
    <author>tc={567F8DED-7BB4-4801-AA9A-23D3BCCE0037}</author>
    <author>tc={F2C73CF0-5EB4-4438-AF4D-4875450B7081}</author>
  </authors>
  <commentList>
    <comment ref="T144" authorId="0" shapeId="0" xr:uid="{3AF1886C-067A-44F1-AAB0-34D522CF42F1}">
      <text>
        <t>[Threaded comment]
Your version of Excel allows you to read this threaded comment; however, any edits to it will get removed if the file is opened in a newer version of Excel. Learn more: https://go.microsoft.com/fwlink/?linkid=870924
Comment:
    I don't trust this data point (100 W, 1/20 HP), since this is an outlier from data in table 5-2.</t>
      </text>
    </comment>
    <comment ref="Q150" authorId="1" shapeId="0" xr:uid="{8D1C7491-1DC9-4C49-8885-83236332B84E}">
      <text>
        <t>[Threaded comment]
Your version of Excel allows you to read this threaded comment; however, any edits to it will get removed if the file is opened in a newer version of Excel. Learn more: https://go.microsoft.com/fwlink/?linkid=870924
Comment:
    This is my attempt to calculate kW/CFM for an ECM, using only the data in the ADL 1996 report. Neither one the baseline nor the measure cases lines up with values proposed in the 2018 draft workpaper.</t>
      </text>
    </comment>
    <comment ref="U158" authorId="2" shapeId="0" xr:uid="{1123017E-9284-4CB9-8799-A19B6CFDA1DF}">
      <text>
        <r>
          <rPr>
            <b/>
            <sz val="9"/>
            <color indexed="81"/>
            <rFont val="Tahoma"/>
            <family val="2"/>
          </rPr>
          <t>Nicholas Fette:</t>
        </r>
        <r>
          <rPr>
            <sz val="9"/>
            <color indexed="81"/>
            <rFont val="Tahoma"/>
            <family val="2"/>
          </rPr>
          <t xml:space="preserve">
Hypothetical fan count based on table 4-44 fan wattage</t>
        </r>
      </text>
    </comment>
    <comment ref="V158" authorId="2" shapeId="0" xr:uid="{386E2CB4-26D6-4429-BB7B-CF62D0B790DE}">
      <text>
        <r>
          <rPr>
            <b/>
            <sz val="9"/>
            <color indexed="81"/>
            <rFont val="Tahoma"/>
            <family val="2"/>
          </rPr>
          <t>Nicholas Fette:</t>
        </r>
        <r>
          <rPr>
            <sz val="9"/>
            <color indexed="81"/>
            <rFont val="Tahoma"/>
            <family val="2"/>
          </rPr>
          <t xml:space="preserve">
Hypothetical fan count based on 1/40 HP fan wattage</t>
        </r>
      </text>
    </comment>
    <comment ref="Z158" authorId="2" shapeId="0" xr:uid="{F4062069-44C2-48E9-A72A-72C961273F04}">
      <text>
        <r>
          <rPr>
            <b/>
            <sz val="9"/>
            <color indexed="81"/>
            <rFont val="Tahoma"/>
            <family val="2"/>
          </rPr>
          <t>Nicholas Fette:</t>
        </r>
        <r>
          <rPr>
            <sz val="9"/>
            <color indexed="81"/>
            <rFont val="Tahoma"/>
            <family val="2"/>
          </rPr>
          <t xml:space="preserve">
Hypothetical fan count based on table 4-44 fan wattage</t>
        </r>
      </text>
    </comment>
    <comment ref="Q160" authorId="2" shapeId="0" xr:uid="{05F49D37-5282-48D4-85A2-665AC8AD2539}">
      <text>
        <r>
          <rPr>
            <b/>
            <sz val="9"/>
            <color indexed="81"/>
            <rFont val="Tahoma"/>
            <family val="2"/>
          </rPr>
          <t>Nicholas Fette:</t>
        </r>
        <r>
          <rPr>
            <sz val="9"/>
            <color indexed="81"/>
            <rFont val="Tahoma"/>
            <family val="2"/>
          </rPr>
          <t xml:space="preserve">
These numbers selected for normalizing savings per motor.</t>
        </r>
      </text>
    </comment>
    <comment ref="AF172" authorId="3" shapeId="0" xr:uid="{567F8DED-7BB4-4801-AA9A-23D3BCCE0037}">
      <text>
        <t>[Threaded comment]
Your version of Excel allows you to read this threaded comment; however, any edits to it will get removed if the file is opened in a newer version of Excel. Learn more: https://go.microsoft.com/fwlink/?linkid=870924
Comment:
    This is a conservative choice for Hi-Eff factor representing coolers (at 1/20 HP, shaded pole to ECM upgrade).</t>
      </text>
    </comment>
    <comment ref="X178" authorId="4" shapeId="0" xr:uid="{F2C73CF0-5EB4-4438-AF4D-4875450B7081}">
      <text>
        <t>[Threaded comment]
Your version of Excel allows you to read this threaded comment; however, any edits to it will get removed if the file is opened in a newer version of Excel. Learn more: https://go.microsoft.com/fwlink/?linkid=870924
Comment:
    Here is the correct range for shaded pole motor efficiencies.</t>
      </text>
    </comment>
  </commentList>
</comments>
</file>

<file path=xl/sharedStrings.xml><?xml version="1.0" encoding="utf-8"?>
<sst xmlns="http://schemas.openxmlformats.org/spreadsheetml/2006/main" count="249" uniqueCount="197">
  <si>
    <t>SWCR004-01 WLT ECM_PSC_CZ1/SWCR004-01 WLT ECM_PSC_CZ1.inp</t>
  </si>
  <si>
    <t>SWCR004-01 WLT ECM_PSC_CZ10/SWCR004-01 WLT ECM_PSC_CZ10.inp</t>
  </si>
  <si>
    <t>SWCR004-01 WLT ECM_PSC_CZ11/SWCR004-01 WLT ECM_PSC_CZ11.inp</t>
  </si>
  <si>
    <t>SWCR004-01 WLT ECM_PSC_CZ12/SWCR004-01 WLT ECM_PSC_CZ12.inp</t>
  </si>
  <si>
    <t>SWCR004-01 WLT ECM_PSC_CZ13/SWCR004-01 WLT ECM_PSC_CZ13.inp</t>
  </si>
  <si>
    <t>SWCR004-01 WLT ECM_PSC_CZ14/SWCR004-01 WLT ECM_PSC_CZ14.inp</t>
  </si>
  <si>
    <t>SWCR004-01 WLT ECM_PSC_CZ15/SWCR004-01 WLT ECM_PSC_CZ15.inp</t>
  </si>
  <si>
    <t>SWCR004-01 WLT ECM_PSC_CZ16/SWCR004-01 WLT ECM_PSC_CZ16.inp</t>
  </si>
  <si>
    <t>SWCR004-01 WLT ECM_PSC_CZ2/SWCR004-01 WLT ECM_PSC_CZ2.inp</t>
  </si>
  <si>
    <t>SWCR004-01 WLT ECM_PSC_CZ3/SWCR004-01 WLT ECM_PSC_CZ3.inp</t>
  </si>
  <si>
    <t>SWCR004-01 WLT ECM_PSC_CZ4/SWCR004-01 WLT ECM_PSC_CZ4.inp</t>
  </si>
  <si>
    <t>SWCR004-01 WLT ECM_PSC_CZ5/SWCR004-01 WLT ECM_PSC_CZ5.inp</t>
  </si>
  <si>
    <t>SWCR004-01 WLT ECM_PSC_CZ6/SWCR004-01 WLT ECM_PSC_CZ6.inp</t>
  </si>
  <si>
    <t>SWCR004-01 WLT ECM_PSC_CZ7/SWCR004-01 WLT ECM_PSC_CZ7.inp</t>
  </si>
  <si>
    <t>SWCR004-01 WLT ECM_PSC_CZ8/SWCR004-01 WLT ECM_PSC_CZ8.inp</t>
  </si>
  <si>
    <t>SWCR004-01 WLT ECM_PSC_CZ9/SWCR004-01 WLT ECM_PSC_CZ9.inp</t>
  </si>
  <si>
    <t>SWCR004-01 WLT ECM_SPM_CZ1/SWCR004-01 WLT ECM_SPM_CZ1.inp</t>
  </si>
  <si>
    <t>SWCR004-01 WLT ECM_SPM_CZ10/SWCR004-01 WLT ECM_SPM_CZ10.inp</t>
  </si>
  <si>
    <t>SWCR004-01 WLT ECM_SPM_CZ11/SWCR004-01 WLT ECM_SPM_CZ11.inp</t>
  </si>
  <si>
    <t>SWCR004-01 WLT ECM_SPM_CZ12/SWCR004-01 WLT ECM_SPM_CZ12.inp</t>
  </si>
  <si>
    <t>SWCR004-01 WLT ECM_SPM_CZ13/SWCR004-01 WLT ECM_SPM_CZ13.inp</t>
  </si>
  <si>
    <t>SWCR004-01 WLT ECM_SPM_CZ14/SWCR004-01 WLT ECM_SPM_CZ14.inp</t>
  </si>
  <si>
    <t>SWCR004-01 WLT ECM_SPM_CZ15/SWCR004-01 WLT ECM_SPM_CZ15.inp</t>
  </si>
  <si>
    <t>SWCR004-01 WLT ECM_SPM_CZ16/SWCR004-01 WLT ECM_SPM_CZ16.inp</t>
  </si>
  <si>
    <t>SWCR004-01 WLT ECM_SPM_CZ2/SWCR004-01 WLT ECM_SPM_CZ2.inp</t>
  </si>
  <si>
    <t>SWCR004-01 WLT ECM_SPM_CZ3/SWCR004-01 WLT ECM_SPM_CZ3.inp</t>
  </si>
  <si>
    <t>SWCR004-01 WLT ECM_SPM_CZ4/SWCR004-01 WLT ECM_SPM_CZ4.inp</t>
  </si>
  <si>
    <t>SWCR004-01 WLT ECM_SPM_CZ5/SWCR004-01 WLT ECM_SPM_CZ5.inp</t>
  </si>
  <si>
    <t>SWCR004-01 WLT ECM_SPM_CZ6/SWCR004-01 WLT ECM_SPM_CZ6.inp</t>
  </si>
  <si>
    <t>SWCR004-01 WLT ECM_SPM_CZ7/SWCR004-01 WLT ECM_SPM_CZ7.inp</t>
  </si>
  <si>
    <t>SWCR004-01 WLT ECM_SPM_CZ8/SWCR004-01 WLT ECM_SPM_CZ8.inp</t>
  </si>
  <si>
    <t>SWCR004-01 WLT ECM_SPM_CZ9/SWCR004-01 WLT ECM_SPM_CZ9.inp</t>
  </si>
  <si>
    <t>SWCR004-01 WLT PSC_CZ1/SWCR004-01 WLT PSC_CZ1_Baseline.inp</t>
  </si>
  <si>
    <t>SWCR004-01 WLT PSC_CZ10/SWCR004-01 WLT PSC_CZ10_Baseline.inp</t>
  </si>
  <si>
    <t>SWCR004-01 WLT PSC_CZ11/SWCR004-01 WLT PSC_CZ11_Baseline.inp</t>
  </si>
  <si>
    <t>SWCR004-01 WLT PSC_CZ12/SWCR004-01 WLT PSC_CZ12_Baseline.inp</t>
  </si>
  <si>
    <t>SWCR004-01 WLT PSC_CZ13/SWCR004-01 WLT PSC_CZ13_Baseline.inp</t>
  </si>
  <si>
    <t>SWCR004-01 WLT PSC_CZ14/SWCR004-01 WLT PSC_CZ14_Baseline.inp</t>
  </si>
  <si>
    <t>SWCR004-01 WLT PSC_CZ15/SWCR004-01 WLT PSC_CZ15_Baseline.inp</t>
  </si>
  <si>
    <t>SWCR004-01 WLT PSC_CZ16/SWCR004-01 WLT PSC_CZ16_Baseline.inp</t>
  </si>
  <si>
    <t>SWCR004-01 WLT PSC_CZ2/SWCR004-01 WLT PSC_CZ2_Baseline.inp</t>
  </si>
  <si>
    <t>SWCR004-01 WLT PSC_CZ3/SWCR004-01 WLT PSC_CZ3_Baseline.inp</t>
  </si>
  <si>
    <t>SWCR004-01 WLT PSC_CZ4/SWCR004-01 WLT PSC_CZ4_Baseline.inp</t>
  </si>
  <si>
    <t>SWCR004-01 WLT PSC_CZ5/SWCR004-01 WLT PSC_CZ5_Baseline.inp</t>
  </si>
  <si>
    <t>SWCR004-01 WLT PSC_CZ6/SWCR004-01 WLT PSC_CZ6_Baseline.inp</t>
  </si>
  <si>
    <t>SWCR004-01 WLT PSC_CZ7/SWCR004-01 WLT PSC_CZ7_Baseline.inp</t>
  </si>
  <si>
    <t>SWCR004-01 WLT PSC_CZ8/SWCR004-01 WLT PSC_CZ8_Baseline.inp</t>
  </si>
  <si>
    <t>SWCR004-01 WLT PSC_CZ9/SWCR004-01 WLT PSC_CZ9_Baseline.inp</t>
  </si>
  <si>
    <t>SWCR004-01 WLT SPM_CZ1/SWCR004-01 WLT SPM_CZ1.inp</t>
  </si>
  <si>
    <t>SWCR004-01 WLT SPM_CZ10/SWCR004-01 WLT SPM_CZ10.inp</t>
  </si>
  <si>
    <t>SWCR004-01 WLT SPM_CZ11/SWCR004-01 WLT SPM_CZ11.inp</t>
  </si>
  <si>
    <t>SWCR004-01 WLT SPM_CZ12/SWCR004-01 WLT SPM_CZ12.inp</t>
  </si>
  <si>
    <t>SWCR004-01 WLT SPM_CZ13/SWCR004-01 WLT SPM_CZ13.inp</t>
  </si>
  <si>
    <t>SWCR004-01 WLT SPM_CZ14/SWCR004-01 WLT SPM_CZ14.inp</t>
  </si>
  <si>
    <t>SWCR004-01 WLT SPM_CZ15/SWCR004-01 WLT SPM_CZ15.inp</t>
  </si>
  <si>
    <t>SWCR004-01 WLT SPM_CZ16/SWCR004-01 WLT SPM_CZ16.inp</t>
  </si>
  <si>
    <t>SWCR004-01 WLT SPM_CZ2/SWCR004-01 WLT SPM_CZ2.inp</t>
  </si>
  <si>
    <t>SWCR004-01 WLT SPM_CZ3/SWCR004-01 WLT SPM_CZ3.inp</t>
  </si>
  <si>
    <t>SWCR004-01 WLT SPM_CZ4/SWCR004-01 WLT SPM_CZ4.inp</t>
  </si>
  <si>
    <t>SWCR004-01 WLT SPM_CZ5/SWCR004-01 WLT SPM_CZ5.inp</t>
  </si>
  <si>
    <t>SWCR004-01 WLT SPM_CZ6/SWCR004-01 WLT SPM_CZ6.inp</t>
  </si>
  <si>
    <t>SWCR004-01 WLT SPM_CZ7/SWCR004-01 WLT SPM_CZ7.inp</t>
  </si>
  <si>
    <t>SWCR004-01 WLT SPM_CZ8/SWCR004-01 WLT SPM_CZ8.inp</t>
  </si>
  <si>
    <t>SWCR004-01 WLT SPM_CZ9/SWCR004-01 WLT SPM_CZ9.inp</t>
  </si>
  <si>
    <t>SWCR004-01 WMT ECM_PSC_CZ1/SWCR004-01 WMT ECM_PSC_CZ1.inp</t>
  </si>
  <si>
    <t>SWCR004-01 WMT ECM_PSC_CZ10/SWCR004-01 WMT ECM_PSC_CZ10.inp</t>
  </si>
  <si>
    <t>SWCR004-01 WMT ECM_PSC_CZ11/SWCR004-01 WMT ECM_PSC_CZ11.inp</t>
  </si>
  <si>
    <t>SWCR004-01 WMT ECM_PSC_CZ12/SWCR004-01 WMT ECM_PSC_CZ12.inp</t>
  </si>
  <si>
    <t>SWCR004-01 WMT ECM_PSC_CZ13/SWCR004-01 WMT ECM_PSC_CZ13.inp</t>
  </si>
  <si>
    <t>SWCR004-01 WMT ECM_PSC_CZ14/SWCR004-01 WMT ECM_PSC_CZ14.inp</t>
  </si>
  <si>
    <t>SWCR004-01 WMT ECM_PSC_CZ15/SWCR004-01 WMT ECM_PSC_CZ15.inp</t>
  </si>
  <si>
    <t>SWCR004-01 WMT ECM_PSC_CZ16/SWCR004-01 WMT ECM_PSC_CZ16.inp</t>
  </si>
  <si>
    <t>SWCR004-01 WMT ECM_PSC_CZ2/SWCR004-01 WMT ECM_PSC_CZ2.inp</t>
  </si>
  <si>
    <t>SWCR004-01 WMT ECM_PSC_CZ3/SWCR004-01 WMT ECM_PSC_CZ3.inp</t>
  </si>
  <si>
    <t>SWCR004-01 WMT ECM_PSC_CZ4/SWCR004-01 WMT ECM_PSC_CZ4.inp</t>
  </si>
  <si>
    <t>SWCR004-01 WMT ECM_PSC_CZ5/SWCR004-01 WMT ECM_PSC_CZ5.inp</t>
  </si>
  <si>
    <t>SWCR004-01 WMT ECM_PSC_CZ6/SWCR004-01 WMT ECM_PSC_CZ6.inp</t>
  </si>
  <si>
    <t>SWCR004-01 WMT ECM_PSC_CZ7/SWCR004-01 WMT ECM_PSC_CZ7.inp</t>
  </si>
  <si>
    <t>SWCR004-01 WMT ECM_PSC_CZ8/SWCR004-01 WMT ECM_PSC_CZ8.inp</t>
  </si>
  <si>
    <t>SWCR004-01 WMT ECM_PSC_CZ9/SWCR004-01 WMT ECM_PSC_CZ9.inp</t>
  </si>
  <si>
    <t>SWCR004-01 WMT ECM_SPM_CZ1/SWCR004-01 WMT ECM_SPM_CZ1.inp</t>
  </si>
  <si>
    <t>SWCR004-01 WMT ECM_SPM_CZ10/SWCR004-01 WMT ECM_SPM_CZ10.inp</t>
  </si>
  <si>
    <t>SWCR004-01 WMT ECM_SPM_CZ11/SWCR004-01 WMT ECM_SPM_CZ11.inp</t>
  </si>
  <si>
    <t>SWCR004-01 WMT ECM_SPM_CZ12/SWCR004-01 WMT ECM_SPM_CZ12.inp</t>
  </si>
  <si>
    <t>SWCR004-01 WMT ECM_SPM_CZ13/SWCR004-01 WMT ECM_SPM_CZ13.inp</t>
  </si>
  <si>
    <t>SWCR004-01 WMT ECM_SPM_CZ14/SWCR004-01 WMT ECM_SPM_CZ14.inp</t>
  </si>
  <si>
    <t>SWCR004-01 WMT ECM_SPM_CZ15/SWCR004-01 WMT ECM_SPM_CZ15.inp</t>
  </si>
  <si>
    <t>SWCR004-01 WMT ECM_SPM_CZ16/SWCR004-01 WMT ECM_SPM_CZ16.inp</t>
  </si>
  <si>
    <t>SWCR004-01 WMT ECM_SPM_CZ2/SWCR004-01 WMT ECM_SPM_CZ2.inp</t>
  </si>
  <si>
    <t>SWCR004-01 WMT ECM_SPM_CZ3/SWCR004-01 WMT ECM_SPM_CZ3.inp</t>
  </si>
  <si>
    <t>SWCR004-01 WMT ECM_SPM_CZ4/SWCR004-01 WMT ECM_SPM_CZ4.inp</t>
  </si>
  <si>
    <t>SWCR004-01 WMT ECM_SPM_CZ5/SWCR004-01 WMT ECM_SPM_CZ5.inp</t>
  </si>
  <si>
    <t>SWCR004-01 WMT ECM_SPM_CZ6/SWCR004-01 WMT ECM_SPM_CZ6.inp</t>
  </si>
  <si>
    <t>SWCR004-01 WMT ECM_SPM_CZ7/SWCR004-01 WMT ECM_SPM_CZ7.inp</t>
  </si>
  <si>
    <t>SWCR004-01 WMT ECM_SPM_CZ8/SWCR004-01 WMT ECM_SPM_CZ8.inp</t>
  </si>
  <si>
    <t>SWCR004-01 WMT ECM_SPM_CZ9/SWCR004-01 WMT ECM_SPM_CZ9.inp</t>
  </si>
  <si>
    <t>SWCR004-01 WMT SPM_CZ1/SWCR004-01 WMT SPM_CZ1.inp</t>
  </si>
  <si>
    <t>SWCR004-01 WMT SPM_CZ10/SWCR004-01 WMT SPM_CZ10.inp</t>
  </si>
  <si>
    <t>SWCR004-01 WMT SPM_CZ11/SWCR004-01 WMT SPM_CZ11.inp</t>
  </si>
  <si>
    <t>SWCR004-01 WMT SPM_CZ12/SWCR004-01 WMT SPM_CZ12.inp</t>
  </si>
  <si>
    <t>SWCR004-01 WMT SPM_CZ13/SWCR004-01 WMT SPM_CZ13.inp</t>
  </si>
  <si>
    <t>SWCR004-01 WMT SPM_CZ14/SWCR004-01 WMT SPM_CZ14.inp</t>
  </si>
  <si>
    <t>SWCR004-01 WMT SPM_CZ15/SWCR004-01 WMT SPM_CZ15.inp</t>
  </si>
  <si>
    <t>SWCR004-01 WMT SPM_CZ16/SWCR004-01 WMT SPM_CZ16.inp</t>
  </si>
  <si>
    <t>SWCR004-01 WMT SPM_CZ2/SWCR004-01 WMT SPM_CZ2.inp</t>
  </si>
  <si>
    <t>SWCR004-01 WMT SPM_CZ3/SWCR004-01 WMT SPM_CZ3.inp</t>
  </si>
  <si>
    <t>SWCR004-01 WMT SPM_CZ4/SWCR004-01 WMT SPM_CZ4.inp</t>
  </si>
  <si>
    <t>SWCR004-01 WMT SPM_CZ5/SWCR004-01 WMT SPM_CZ5.inp</t>
  </si>
  <si>
    <t>SWCR004-01 WMT SPM_CZ6/SWCR004-01 WMT SPM_CZ6.inp</t>
  </si>
  <si>
    <t>SWCR004-01 WMT SPM_CZ7/SWCR004-01 WMT SPM_CZ7.inp</t>
  </si>
  <si>
    <t>SWCR004-01 WMT SPM_CZ8/SWCR004-01 WMT SPM_CZ8.inp</t>
  </si>
  <si>
    <t>SWCR004-01 WMT SPM_CZ9/SWCR004-01 WMT SPM_CZ9.inp</t>
  </si>
  <si>
    <t>CZ</t>
  </si>
  <si>
    <t>WLT/WMT</t>
  </si>
  <si>
    <t>Motor</t>
  </si>
  <si>
    <t>WLT</t>
  </si>
  <si>
    <t>ECM_PSC</t>
  </si>
  <si>
    <t>PSC_Baseline</t>
  </si>
  <si>
    <t>SPM</t>
  </si>
  <si>
    <t>WMT</t>
  </si>
  <si>
    <t>ECM_SPM</t>
  </si>
  <si>
    <t>Compare column A</t>
  </si>
  <si>
    <t>Compare column B</t>
  </si>
  <si>
    <t>diff -u20</t>
  </si>
  <si>
    <t>Offset</t>
  </si>
  <si>
    <t>Cooler_System</t>
  </si>
  <si>
    <t>Freezer_System</t>
  </si>
  <si>
    <t>Table of Supply-KW/flow values in models from 2018-Nov-30</t>
  </si>
  <si>
    <t>SYSTEM</t>
  </si>
  <si>
    <t>1999 Report</t>
  </si>
  <si>
    <t>1996 Report</t>
  </si>
  <si>
    <t>Table 4-44</t>
  </si>
  <si>
    <t>Air flow (CFM)</t>
  </si>
  <si>
    <t>Walk-in Freezer</t>
  </si>
  <si>
    <t>Walk-in cooler</t>
  </si>
  <si>
    <t>Number fans</t>
  </si>
  <si>
    <t>Fan wattage (W)</t>
  </si>
  <si>
    <t>Fan motor type</t>
  </si>
  <si>
    <t>Shaded pole (1/40 hp)</t>
  </si>
  <si>
    <t>Shaded pole (1/20 hp)</t>
  </si>
  <si>
    <t>Total fan kW</t>
  </si>
  <si>
    <t>Total fan kW/CFM</t>
  </si>
  <si>
    <t>Table 5-2</t>
  </si>
  <si>
    <t>Shaded Pole</t>
  </si>
  <si>
    <t>Wattage</t>
  </si>
  <si>
    <t>OEM cost</t>
  </si>
  <si>
    <t>PSC</t>
  </si>
  <si>
    <t>ECM</t>
  </si>
  <si>
    <t>OEM Cost</t>
  </si>
  <si>
    <t>Motor output (W)</t>
  </si>
  <si>
    <t>Motor output (HP)</t>
  </si>
  <si>
    <t>Calculated efficiency</t>
  </si>
  <si>
    <t>Shaded pole</t>
  </si>
  <si>
    <t>Min-Max</t>
  </si>
  <si>
    <t>Inferred multipliers</t>
  </si>
  <si>
    <t>Matches DEER measure case</t>
  </si>
  <si>
    <t>Freezer</t>
  </si>
  <si>
    <t>Cooler</t>
  </si>
  <si>
    <t>Matches draft 2018 workpaper</t>
  </si>
  <si>
    <t>DEER/workpaper baseline</t>
  </si>
  <si>
    <t>Hi-Eff wattage multiplier relative to SHP</t>
  </si>
  <si>
    <t>Relative to PSC</t>
  </si>
  <si>
    <t>Table 5-13</t>
  </si>
  <si>
    <t>Total number</t>
  </si>
  <si>
    <t>Motor output
(W)</t>
  </si>
  <si>
    <t>Total Cost (OEM)</t>
  </si>
  <si>
    <t>Total Power (W)</t>
  </si>
  <si>
    <t>Totals</t>
  </si>
  <si>
    <t>Simple average</t>
  </si>
  <si>
    <t>Hi-Eff multiplier</t>
  </si>
  <si>
    <t>Hi-Eff fan kW/CFM</t>
  </si>
  <si>
    <t>Arthur D. Little, Inc. 1996. Energy Savings Potential for Commercial Refrigeration Equipment. Prepared for Building Equipment Division Office of Building Technologies U.S. Department of Energy.</t>
  </si>
  <si>
    <t>https://sites.uclouvain.be/energie-plus/fileadmin/resources/04_technique/14_froid_alimentaire/Etudes/bilan_energie_commerce_usa.pdf</t>
  </si>
  <si>
    <t>https://library.cee1.org/system/files/library/1103/268.pdf</t>
  </si>
  <si>
    <t>Extrapolations</t>
  </si>
  <si>
    <t>Extrapolation</t>
  </si>
  <si>
    <t>Fit to wattage</t>
  </si>
  <si>
    <t>Fit to efficiency</t>
  </si>
  <si>
    <t>SHP wattage</t>
  </si>
  <si>
    <t>Efficiency</t>
  </si>
  <si>
    <t>Error</t>
  </si>
  <si>
    <t>CFM per fan</t>
  </si>
  <si>
    <t>Anecdotal table 4-44</t>
  </si>
  <si>
    <t>DEER models by comparison</t>
  </si>
  <si>
    <t>1975-2003 baseline kW/CFM</t>
  </si>
  <si>
    <t>Rated CFM</t>
  </si>
  <si>
    <t>Single fan kW</t>
  </si>
  <si>
    <t>Total fan W power</t>
  </si>
  <si>
    <t>DEER2020 Freezer</t>
  </si>
  <si>
    <t>eQUEST freezer</t>
  </si>
  <si>
    <t>DEER2020 Cooler</t>
  </si>
  <si>
    <t>eQUEST cooler</t>
  </si>
  <si>
    <t>Evaporators</t>
  </si>
  <si>
    <t>Rounded number</t>
  </si>
  <si>
    <t>Number fans (exact)</t>
  </si>
  <si>
    <t>Fan W/CFM</t>
  </si>
  <si>
    <t>SHP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</si>
</sst>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00000"/>
    <numFmt numFmtId="165" formatCode="0.0000E+00"/>
    <numFmt numFmtId="166" formatCode="0.000000"/>
    <numFmt numFmtId="167" formatCode="&quot;$&quot;#,##0"/>
    <numFmt numFmtId="168" formatCode="#\ ???/???"/>
    <numFmt numFmtId="169" formatCode="0.0%"/>
    <numFmt numFmtId="170" formatCode="0.000"/>
    <numFmt numFmtId="171"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i/>
      <sz val="11"/>
      <color rgb="FF7F7F7F"/>
      <name val="Calibri"/>
      <family val="2"/>
      <scheme val="minor"/>
    </font>
    <font>
      <u/>
      <sz val="11"/>
      <color theme="10"/>
      <name val="Calibri"/>
      <family val="2"/>
      <scheme val="minor"/>
    </font>
    <font>
      <sz val="11"/>
      <color rgb="FF9C0006"/>
      <name val="Calibri"/>
      <family val="2"/>
      <scheme val="minor"/>
    </font>
    <font>
      <sz val="9"/>
      <color indexed="81"/>
      <name val="Tahoma"/>
      <family val="2"/>
    </font>
    <font>
      <b/>
      <sz val="9"/>
      <color indexed="81"/>
      <name val="Tahoma"/>
      <family val="2"/>
    </font>
  </fonts>
  <fills count="12">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9" tint="0.79998168889431442"/>
        <bgColor indexed="65"/>
      </patternFill>
    </fill>
    <fill>
      <patternFill patternType="solid">
        <fgColor rgb="FFFFFF00"/>
        <bgColor indexed="64"/>
      </patternFill>
    </fill>
    <fill>
      <patternFill patternType="solid">
        <fgColor rgb="FFFFC000"/>
        <bgColor indexed="64"/>
      </patternFill>
    </fill>
    <fill>
      <patternFill patternType="solid">
        <fgColor theme="5" tint="0.59999389629810485"/>
        <bgColor indexed="64"/>
      </patternFill>
    </fill>
    <fill>
      <patternFill patternType="solid">
        <fgColor rgb="FFFFC7CE"/>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s>
  <cellStyleXfs count="1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3" fillId="0" borderId="2" applyNumberFormat="0" applyFill="0" applyAlignment="0" applyProtection="0"/>
    <xf numFmtId="0" fontId="4" fillId="0" borderId="0" applyNumberFormat="0" applyFill="0" applyBorder="0" applyAlignment="0" applyProtection="0"/>
    <xf numFmtId="0" fontId="1" fillId="6" borderId="0" applyNumberFormat="0" applyBorder="0" applyAlignment="0" applyProtection="0"/>
    <xf numFmtId="0" fontId="1" fillId="7" borderId="0" applyNumberFormat="0" applyBorder="0" applyAlignment="0" applyProtection="0"/>
    <xf numFmtId="0" fontId="5" fillId="0" borderId="0" applyNumberFormat="0" applyFill="0" applyBorder="0" applyAlignment="0" applyProtection="0"/>
    <xf numFmtId="9" fontId="1" fillId="0" borderId="0" applyFont="0" applyFill="0" applyBorder="0" applyAlignment="0" applyProtection="0"/>
    <xf numFmtId="0" fontId="6" fillId="11" borderId="0" applyNumberFormat="0" applyBorder="0" applyAlignment="0" applyProtection="0"/>
  </cellStyleXfs>
  <cellXfs count="97">
    <xf numFmtId="0" fontId="0" fillId="0" borderId="0" xfId="0"/>
    <xf numFmtId="0" fontId="0" fillId="0" borderId="0" xfId="0" quotePrefix="1"/>
    <xf numFmtId="0" fontId="0" fillId="0" borderId="0" xfId="0" applyAlignment="1">
      <alignment horizontal="center"/>
    </xf>
    <xf numFmtId="164" fontId="0" fillId="0" borderId="0" xfId="0" applyNumberFormat="1"/>
    <xf numFmtId="165" fontId="0" fillId="0" borderId="1" xfId="0" applyNumberFormat="1" applyBorder="1"/>
    <xf numFmtId="0" fontId="0" fillId="0" borderId="0" xfId="0" applyBorder="1"/>
    <xf numFmtId="0" fontId="1" fillId="2" borderId="1" xfId="1" applyBorder="1"/>
    <xf numFmtId="0" fontId="2" fillId="3" borderId="1" xfId="2" applyFont="1" applyBorder="1"/>
    <xf numFmtId="0" fontId="3" fillId="0" borderId="2" xfId="5"/>
    <xf numFmtId="0" fontId="0" fillId="0" borderId="0" xfId="0" applyAlignment="1"/>
    <xf numFmtId="0" fontId="0" fillId="0" borderId="1" xfId="0" applyBorder="1"/>
    <xf numFmtId="168" fontId="0" fillId="0" borderId="1" xfId="0" applyNumberFormat="1" applyBorder="1"/>
    <xf numFmtId="167" fontId="0" fillId="0" borderId="1" xfId="0" applyNumberFormat="1" applyBorder="1"/>
    <xf numFmtId="13" fontId="0" fillId="0" borderId="1" xfId="0" applyNumberFormat="1" applyBorder="1"/>
    <xf numFmtId="170" fontId="0" fillId="0" borderId="0" xfId="0" applyNumberFormat="1"/>
    <xf numFmtId="0" fontId="0" fillId="0" borderId="7" xfId="0" applyBorder="1" applyAlignment="1"/>
    <xf numFmtId="0" fontId="0" fillId="0" borderId="8" xfId="0" applyBorder="1" applyAlignment="1"/>
    <xf numFmtId="0" fontId="0" fillId="0" borderId="6" xfId="0" applyBorder="1" applyAlignment="1"/>
    <xf numFmtId="170" fontId="0" fillId="0" borderId="1" xfId="0" applyNumberFormat="1" applyBorder="1"/>
    <xf numFmtId="170" fontId="0" fillId="8" borderId="1" xfId="0" applyNumberFormat="1" applyFill="1" applyBorder="1"/>
    <xf numFmtId="0" fontId="0" fillId="8" borderId="0" xfId="0" applyFill="1"/>
    <xf numFmtId="13" fontId="1" fillId="2" borderId="1" xfId="1" applyNumberFormat="1" applyBorder="1"/>
    <xf numFmtId="13" fontId="1" fillId="7" borderId="1" xfId="8" applyNumberFormat="1" applyBorder="1"/>
    <xf numFmtId="165" fontId="0" fillId="9" borderId="1" xfId="0" applyNumberFormat="1" applyFill="1" applyBorder="1"/>
    <xf numFmtId="0" fontId="0" fillId="9" borderId="0" xfId="0" applyFill="1"/>
    <xf numFmtId="165" fontId="0" fillId="10" borderId="1" xfId="0" applyNumberFormat="1" applyFill="1" applyBorder="1"/>
    <xf numFmtId="0" fontId="0" fillId="10" borderId="0" xfId="0" applyFill="1"/>
    <xf numFmtId="170" fontId="0" fillId="10" borderId="1" xfId="0" applyNumberFormat="1" applyFill="1" applyBorder="1"/>
    <xf numFmtId="170" fontId="0" fillId="9" borderId="1" xfId="0" applyNumberFormat="1" applyFill="1" applyBorder="1"/>
    <xf numFmtId="0" fontId="1" fillId="2" borderId="0" xfId="1" applyBorder="1"/>
    <xf numFmtId="0" fontId="1" fillId="7" borderId="0" xfId="8"/>
    <xf numFmtId="171" fontId="4" fillId="0" borderId="0" xfId="6" applyNumberFormat="1" applyAlignment="1"/>
    <xf numFmtId="0" fontId="5" fillId="0" borderId="0" xfId="9"/>
    <xf numFmtId="0" fontId="6" fillId="11" borderId="0" xfId="11"/>
    <xf numFmtId="2" fontId="0" fillId="0" borderId="0" xfId="0" applyNumberFormat="1"/>
    <xf numFmtId="169" fontId="0" fillId="0" borderId="0" xfId="10" applyNumberFormat="1" applyFont="1"/>
    <xf numFmtId="11" fontId="0" fillId="0" borderId="0" xfId="0" applyNumberFormat="1"/>
    <xf numFmtId="2" fontId="0" fillId="0" borderId="9" xfId="0" applyNumberFormat="1" applyBorder="1"/>
    <xf numFmtId="169" fontId="0" fillId="0" borderId="10" xfId="10" applyNumberFormat="1" applyFont="1" applyBorder="1"/>
    <xf numFmtId="0" fontId="0" fillId="0" borderId="10" xfId="0" applyBorder="1"/>
    <xf numFmtId="2" fontId="0" fillId="0" borderId="11" xfId="0" applyNumberFormat="1" applyBorder="1"/>
    <xf numFmtId="169" fontId="0" fillId="0" borderId="12" xfId="10" applyNumberFormat="1" applyFont="1" applyBorder="1"/>
    <xf numFmtId="2" fontId="0" fillId="0" borderId="13" xfId="0" applyNumberFormat="1" applyBorder="1"/>
    <xf numFmtId="169" fontId="0" fillId="0" borderId="6" xfId="10" applyNumberFormat="1" applyFont="1" applyBorder="1"/>
    <xf numFmtId="169" fontId="0" fillId="0" borderId="14" xfId="10" applyNumberFormat="1" applyFont="1" applyBorder="1"/>
    <xf numFmtId="2" fontId="6" fillId="11" borderId="1" xfId="11" applyNumberFormat="1" applyBorder="1"/>
    <xf numFmtId="2" fontId="2" fillId="0" borderId="13" xfId="0" applyNumberFormat="1" applyFont="1" applyBorder="1"/>
    <xf numFmtId="0" fontId="0" fillId="0" borderId="1" xfId="0" applyBorder="1" applyAlignment="1"/>
    <xf numFmtId="171" fontId="4" fillId="0" borderId="1" xfId="6" applyNumberFormat="1" applyBorder="1" applyAlignment="1"/>
    <xf numFmtId="0" fontId="0" fillId="0" borderId="11" xfId="0" applyBorder="1"/>
    <xf numFmtId="0" fontId="0" fillId="0" borderId="8" xfId="0" applyBorder="1"/>
    <xf numFmtId="0" fontId="0" fillId="0" borderId="12" xfId="0" applyBorder="1"/>
    <xf numFmtId="0" fontId="0" fillId="0" borderId="13" xfId="0" applyBorder="1"/>
    <xf numFmtId="170" fontId="0" fillId="0" borderId="0" xfId="0" applyNumberFormat="1" applyBorder="1"/>
    <xf numFmtId="0" fontId="0" fillId="0" borderId="6" xfId="0" applyBorder="1"/>
    <xf numFmtId="0" fontId="0" fillId="0" borderId="9" xfId="0" applyBorder="1"/>
    <xf numFmtId="0" fontId="0" fillId="0" borderId="14" xfId="0" applyBorder="1"/>
    <xf numFmtId="0" fontId="2" fillId="0" borderId="1" xfId="0" applyFont="1" applyBorder="1"/>
    <xf numFmtId="0" fontId="0" fillId="0" borderId="3" xfId="0" applyBorder="1"/>
    <xf numFmtId="2" fontId="0" fillId="0" borderId="1" xfId="0" applyNumberFormat="1" applyBorder="1"/>
    <xf numFmtId="1" fontId="0" fillId="8" borderId="1" xfId="0" applyNumberFormat="1" applyFill="1" applyBorder="1"/>
    <xf numFmtId="1" fontId="0" fillId="0" borderId="1" xfId="0" applyNumberFormat="1" applyBorder="1"/>
    <xf numFmtId="0" fontId="2" fillId="0" borderId="7" xfId="0" applyFont="1" applyFill="1" applyBorder="1"/>
    <xf numFmtId="0" fontId="2" fillId="5" borderId="1" xfId="4" applyFont="1" applyBorder="1" applyAlignment="1">
      <alignment horizontal="center" vertical="center"/>
    </xf>
    <xf numFmtId="0" fontId="1" fillId="4" borderId="1" xfId="3" applyBorder="1" applyAlignment="1">
      <alignment horizontal="center"/>
    </xf>
    <xf numFmtId="0" fontId="0" fillId="0" borderId="3" xfId="0" applyBorder="1" applyAlignment="1">
      <alignment horizontal="center"/>
    </xf>
    <xf numFmtId="0" fontId="0" fillId="0" borderId="5" xfId="0" applyBorder="1" applyAlignment="1">
      <alignment horizontal="center"/>
    </xf>
    <xf numFmtId="170" fontId="0" fillId="0" borderId="3" xfId="0" applyNumberFormat="1" applyBorder="1" applyAlignment="1">
      <alignment horizontal="center"/>
    </xf>
    <xf numFmtId="170" fontId="0" fillId="0" borderId="5" xfId="0" applyNumberFormat="1" applyBorder="1" applyAlignment="1">
      <alignment horizontal="center"/>
    </xf>
    <xf numFmtId="0" fontId="0" fillId="0" borderId="1" xfId="0" applyBorder="1" applyAlignment="1">
      <alignment horizontal="center"/>
    </xf>
    <xf numFmtId="0" fontId="0" fillId="0" borderId="0" xfId="0" applyAlignment="1">
      <alignment horizontal="center"/>
    </xf>
    <xf numFmtId="170" fontId="0" fillId="0" borderId="1" xfId="0" applyNumberFormat="1" applyBorder="1" applyAlignment="1">
      <alignment horizontal="center"/>
    </xf>
    <xf numFmtId="0" fontId="2" fillId="0" borderId="1" xfId="0" applyFont="1" applyBorder="1" applyAlignment="1">
      <alignment horizontal="center"/>
    </xf>
    <xf numFmtId="0" fontId="0" fillId="0" borderId="1" xfId="0" applyBorder="1" applyAlignment="1">
      <alignment horizontal="center" wrapText="1"/>
    </xf>
    <xf numFmtId="169" fontId="0" fillId="0" borderId="1" xfId="0" applyNumberFormat="1" applyBorder="1" applyAlignment="1">
      <alignment horizontal="center"/>
    </xf>
    <xf numFmtId="0" fontId="0" fillId="0" borderId="4" xfId="0" applyBorder="1" applyAlignment="1">
      <alignment horizontal="center"/>
    </xf>
    <xf numFmtId="0" fontId="1" fillId="2" borderId="3" xfId="1" applyBorder="1" applyAlignment="1">
      <alignment horizontal="center"/>
    </xf>
    <xf numFmtId="0" fontId="1" fillId="2" borderId="4" xfId="1" applyBorder="1" applyAlignment="1">
      <alignment horizontal="center"/>
    </xf>
    <xf numFmtId="0" fontId="1" fillId="2" borderId="5" xfId="1" applyBorder="1" applyAlignment="1">
      <alignment horizontal="center"/>
    </xf>
    <xf numFmtId="0" fontId="1" fillId="7" borderId="3" xfId="8" applyBorder="1" applyAlignment="1">
      <alignment horizontal="center"/>
    </xf>
    <xf numFmtId="0" fontId="1" fillId="7" borderId="4" xfId="8" applyBorder="1" applyAlignment="1">
      <alignment horizontal="center"/>
    </xf>
    <xf numFmtId="0" fontId="1" fillId="7" borderId="5" xfId="8" applyBorder="1" applyAlignment="1">
      <alignment horizontal="center"/>
    </xf>
    <xf numFmtId="166" fontId="0" fillId="0" borderId="3" xfId="0" applyNumberFormat="1" applyBorder="1" applyAlignment="1">
      <alignment horizontal="center"/>
    </xf>
    <xf numFmtId="166" fontId="0" fillId="0" borderId="4" xfId="0" applyNumberFormat="1" applyBorder="1" applyAlignment="1">
      <alignment horizontal="center"/>
    </xf>
    <xf numFmtId="166" fontId="0" fillId="0" borderId="5" xfId="0" applyNumberFormat="1" applyBorder="1" applyAlignment="1">
      <alignment horizontal="center"/>
    </xf>
    <xf numFmtId="169" fontId="6" fillId="11" borderId="1" xfId="11" applyNumberFormat="1" applyBorder="1" applyAlignment="1">
      <alignment horizontal="center"/>
    </xf>
    <xf numFmtId="170" fontId="1" fillId="7" borderId="3" xfId="8" applyNumberFormat="1" applyBorder="1" applyAlignment="1">
      <alignment horizontal="center"/>
    </xf>
    <xf numFmtId="170" fontId="1" fillId="7" borderId="5" xfId="8" applyNumberFormat="1" applyBorder="1" applyAlignment="1">
      <alignment horizontal="center"/>
    </xf>
    <xf numFmtId="170" fontId="1" fillId="2" borderId="1" xfId="1" applyNumberFormat="1" applyBorder="1" applyAlignment="1">
      <alignment horizontal="center"/>
    </xf>
    <xf numFmtId="170" fontId="1" fillId="7" borderId="1" xfId="8" applyNumberFormat="1" applyBorder="1" applyAlignment="1">
      <alignment horizontal="center"/>
    </xf>
    <xf numFmtId="170" fontId="2" fillId="2" borderId="3" xfId="1" applyNumberFormat="1" applyFont="1" applyBorder="1" applyAlignment="1">
      <alignment horizontal="center"/>
    </xf>
    <xf numFmtId="170" fontId="2" fillId="2" borderId="5" xfId="1" applyNumberFormat="1" applyFont="1" applyBorder="1" applyAlignment="1">
      <alignment horizontal="center"/>
    </xf>
    <xf numFmtId="0" fontId="2" fillId="0" borderId="1" xfId="0" applyFont="1" applyBorder="1" applyAlignment="1">
      <alignment horizontal="center" wrapText="1"/>
    </xf>
    <xf numFmtId="0" fontId="0" fillId="0" borderId="1" xfId="0" applyBorder="1" applyAlignment="1">
      <alignment horizontal="left"/>
    </xf>
    <xf numFmtId="0" fontId="0" fillId="6" borderId="3" xfId="7" applyFont="1" applyBorder="1" applyAlignment="1">
      <alignment horizontal="center"/>
    </xf>
    <xf numFmtId="0" fontId="1" fillId="6" borderId="4" xfId="7" applyBorder="1" applyAlignment="1">
      <alignment horizontal="center"/>
    </xf>
    <xf numFmtId="0" fontId="1" fillId="6" borderId="5" xfId="7" applyBorder="1" applyAlignment="1">
      <alignment horizontal="center"/>
    </xf>
  </cellXfs>
  <cellStyles count="12">
    <cellStyle name="20% - Accent1" xfId="1" builtinId="30"/>
    <cellStyle name="20% - Accent2" xfId="3" builtinId="34"/>
    <cellStyle name="20% - Accent3" xfId="7" builtinId="38"/>
    <cellStyle name="20% - Accent6" xfId="8" builtinId="50"/>
    <cellStyle name="40% - Accent1" xfId="2" builtinId="31"/>
    <cellStyle name="40% - Accent2" xfId="4" builtinId="35"/>
    <cellStyle name="Bad" xfId="11" builtinId="27"/>
    <cellStyle name="Explanatory Text" xfId="6" builtinId="53"/>
    <cellStyle name="Heading 1" xfId="5" builtinId="16"/>
    <cellStyle name="Hyperlink" xfId="9" builtinId="8"/>
    <cellStyle name="Normal" xfId="0" builtinId="0"/>
    <cellStyle name="Percent" xfId="1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'ADL 1996'!$Q$165:$R$165</c:f>
              <c:strCache>
                <c:ptCount val="1"/>
                <c:pt idx="0">
                  <c:v>Shaded Pole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ly"/>
            <c:order val="2"/>
            <c:forward val="100"/>
            <c:backward val="10"/>
            <c:dispRSqr val="1"/>
            <c:dispEq val="1"/>
            <c:trendlineLbl>
              <c:layout>
                <c:manualLayout>
                  <c:x val="0.11595374902461517"/>
                  <c:y val="-0.2216045283496189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'ADL 1996'!$O$168:$O$172</c:f>
              <c:numCache>
                <c:formatCode>General</c:formatCode>
                <c:ptCount val="5"/>
                <c:pt idx="0">
                  <c:v>6</c:v>
                </c:pt>
                <c:pt idx="1">
                  <c:v>9</c:v>
                </c:pt>
                <c:pt idx="2">
                  <c:v>15</c:v>
                </c:pt>
                <c:pt idx="3">
                  <c:v>20</c:v>
                </c:pt>
                <c:pt idx="4">
                  <c:v>25</c:v>
                </c:pt>
              </c:numCache>
            </c:numRef>
          </c:xVal>
          <c:yVal>
            <c:numRef>
              <c:f>'ADL 1996'!$Q$168:$Q$172</c:f>
              <c:numCache>
                <c:formatCode>General</c:formatCode>
                <c:ptCount val="5"/>
                <c:pt idx="0">
                  <c:v>40</c:v>
                </c:pt>
                <c:pt idx="1">
                  <c:v>53</c:v>
                </c:pt>
                <c:pt idx="2">
                  <c:v>75</c:v>
                </c:pt>
                <c:pt idx="3">
                  <c:v>90</c:v>
                </c:pt>
                <c:pt idx="4">
                  <c:v>110</c:v>
                </c:pt>
              </c:numCache>
            </c:numRef>
          </c:yVal>
          <c:smooth val="0"/>
          <c:extLst>
            <c:ext xmlns:c16="http://schemas.microsoft.com/office/drawing/2014/chart" uri="{C3380CC4-5D6E-409C-BE32-E72D297353CC}">
              <c16:uniqueId val="{00000000-90C1-4051-85E6-9FADA814524A}"/>
            </c:ext>
          </c:extLst>
        </c:ser>
        <c:ser>
          <c:idx val="1"/>
          <c:order val="1"/>
          <c:tx>
            <c:strRef>
              <c:f>'ADL 1996'!$S$165:$T$165</c:f>
              <c:strCache>
                <c:ptCount val="1"/>
                <c:pt idx="0">
                  <c:v>PSC</c:v>
                </c:pt>
              </c:strCache>
            </c:strRef>
          </c:tx>
          <c:spPr>
            <a:ln w="25400" cap="rnd">
              <a:noFill/>
              <a:round/>
            </a:ln>
            <a:effectLst/>
          </c:spPr>
          <c:marker>
            <c:symbol val="circle"/>
            <c:size val="5"/>
            <c:spPr>
              <a:solidFill>
                <a:schemeClr val="accent2"/>
              </a:solidFill>
              <a:ln w="9525">
                <a:solidFill>
                  <a:schemeClr val="accent2"/>
                </a:solidFill>
              </a:ln>
              <a:effectLst/>
            </c:spPr>
          </c:marker>
          <c:xVal>
            <c:numRef>
              <c:f>'ADL 1996'!$O$168:$O$177</c:f>
              <c:numCache>
                <c:formatCode>General</c:formatCode>
                <c:ptCount val="10"/>
                <c:pt idx="0">
                  <c:v>6</c:v>
                </c:pt>
                <c:pt idx="1">
                  <c:v>9</c:v>
                </c:pt>
                <c:pt idx="2">
                  <c:v>15</c:v>
                </c:pt>
                <c:pt idx="3">
                  <c:v>20</c:v>
                </c:pt>
                <c:pt idx="4">
                  <c:v>25</c:v>
                </c:pt>
                <c:pt idx="5">
                  <c:v>37</c:v>
                </c:pt>
                <c:pt idx="6">
                  <c:v>50</c:v>
                </c:pt>
                <c:pt idx="7">
                  <c:v>125</c:v>
                </c:pt>
                <c:pt idx="8">
                  <c:v>249</c:v>
                </c:pt>
                <c:pt idx="9">
                  <c:v>373</c:v>
                </c:pt>
              </c:numCache>
            </c:numRef>
          </c:xVal>
          <c:yVal>
            <c:numRef>
              <c:f>'ADL 1996'!$S$168:$S$177</c:f>
              <c:numCache>
                <c:formatCode>General</c:formatCode>
                <c:ptCount val="10"/>
                <c:pt idx="0">
                  <c:v>15</c:v>
                </c:pt>
                <c:pt idx="1">
                  <c:v>21</c:v>
                </c:pt>
                <c:pt idx="2">
                  <c:v>33</c:v>
                </c:pt>
                <c:pt idx="3">
                  <c:v>42</c:v>
                </c:pt>
                <c:pt idx="4">
                  <c:v>51</c:v>
                </c:pt>
                <c:pt idx="5">
                  <c:v>70</c:v>
                </c:pt>
                <c:pt idx="6">
                  <c:v>90</c:v>
                </c:pt>
                <c:pt idx="7">
                  <c:v>202</c:v>
                </c:pt>
                <c:pt idx="8">
                  <c:v>370</c:v>
                </c:pt>
                <c:pt idx="9">
                  <c:v>530</c:v>
                </c:pt>
              </c:numCache>
            </c:numRef>
          </c:yVal>
          <c:smooth val="0"/>
          <c:extLst>
            <c:ext xmlns:c16="http://schemas.microsoft.com/office/drawing/2014/chart" uri="{C3380CC4-5D6E-409C-BE32-E72D297353CC}">
              <c16:uniqueId val="{00000001-90C1-4051-85E6-9FADA814524A}"/>
            </c:ext>
          </c:extLst>
        </c:ser>
        <c:ser>
          <c:idx val="2"/>
          <c:order val="2"/>
          <c:tx>
            <c:strRef>
              <c:f>'ADL 1996'!$U$165:$V$165</c:f>
              <c:strCache>
                <c:ptCount val="1"/>
                <c:pt idx="0">
                  <c:v>ECM</c:v>
                </c:pt>
              </c:strCache>
            </c:strRef>
          </c:tx>
          <c:spPr>
            <a:ln w="25400" cap="rnd">
              <a:noFill/>
              <a:round/>
            </a:ln>
            <a:effectLst/>
          </c:spPr>
          <c:marker>
            <c:symbol val="circle"/>
            <c:size val="5"/>
            <c:spPr>
              <a:solidFill>
                <a:schemeClr val="accent3"/>
              </a:solidFill>
              <a:ln w="9525">
                <a:solidFill>
                  <a:schemeClr val="accent3"/>
                </a:solidFill>
              </a:ln>
              <a:effectLst/>
            </c:spPr>
          </c:marker>
          <c:xVal>
            <c:numRef>
              <c:f>'ADL 1996'!$O$168:$O$177</c:f>
              <c:numCache>
                <c:formatCode>General</c:formatCode>
                <c:ptCount val="10"/>
                <c:pt idx="0">
                  <c:v>6</c:v>
                </c:pt>
                <c:pt idx="1">
                  <c:v>9</c:v>
                </c:pt>
                <c:pt idx="2">
                  <c:v>15</c:v>
                </c:pt>
                <c:pt idx="3">
                  <c:v>20</c:v>
                </c:pt>
                <c:pt idx="4">
                  <c:v>25</c:v>
                </c:pt>
                <c:pt idx="5">
                  <c:v>37</c:v>
                </c:pt>
                <c:pt idx="6">
                  <c:v>50</c:v>
                </c:pt>
                <c:pt idx="7">
                  <c:v>125</c:v>
                </c:pt>
                <c:pt idx="8">
                  <c:v>249</c:v>
                </c:pt>
                <c:pt idx="9">
                  <c:v>373</c:v>
                </c:pt>
              </c:numCache>
            </c:numRef>
          </c:xVal>
          <c:yVal>
            <c:numRef>
              <c:f>'ADL 1996'!$U$168:$U$177</c:f>
              <c:numCache>
                <c:formatCode>General</c:formatCode>
                <c:ptCount val="10"/>
                <c:pt idx="0">
                  <c:v>8.5</c:v>
                </c:pt>
                <c:pt idx="1">
                  <c:v>12.5</c:v>
                </c:pt>
                <c:pt idx="2">
                  <c:v>20.5</c:v>
                </c:pt>
                <c:pt idx="3">
                  <c:v>27</c:v>
                </c:pt>
                <c:pt idx="4">
                  <c:v>33</c:v>
                </c:pt>
                <c:pt idx="5">
                  <c:v>49</c:v>
                </c:pt>
                <c:pt idx="6">
                  <c:v>65</c:v>
                </c:pt>
                <c:pt idx="7">
                  <c:v>155</c:v>
                </c:pt>
                <c:pt idx="8">
                  <c:v>304</c:v>
                </c:pt>
                <c:pt idx="9">
                  <c:v>450</c:v>
                </c:pt>
              </c:numCache>
            </c:numRef>
          </c:yVal>
          <c:smooth val="0"/>
          <c:extLst>
            <c:ext xmlns:c16="http://schemas.microsoft.com/office/drawing/2014/chart" uri="{C3380CC4-5D6E-409C-BE32-E72D297353CC}">
              <c16:uniqueId val="{00000002-90C1-4051-85E6-9FADA814524A}"/>
            </c:ext>
          </c:extLst>
        </c:ser>
        <c:dLbls>
          <c:showLegendKey val="0"/>
          <c:showVal val="0"/>
          <c:showCatName val="0"/>
          <c:showSerName val="0"/>
          <c:showPercent val="0"/>
          <c:showBubbleSize val="0"/>
        </c:dLbls>
        <c:axId val="488793024"/>
        <c:axId val="488794008"/>
      </c:scatterChart>
      <c:valAx>
        <c:axId val="48879302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strRef>
              <c:f>'ADL 1996'!$O$165:$O$167</c:f>
              <c:strCache>
                <c:ptCount val="3"/>
                <c:pt idx="0">
                  <c:v>Motor output (W)</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794008"/>
        <c:crosses val="autoZero"/>
        <c:crossBetween val="midCat"/>
      </c:valAx>
      <c:valAx>
        <c:axId val="488794008"/>
        <c:scaling>
          <c:orientation val="minMax"/>
        </c:scaling>
        <c:delete val="0"/>
        <c:axPos val="l"/>
        <c:majorGridlines>
          <c:spPr>
            <a:ln w="9525" cap="flat" cmpd="sng" algn="ctr">
              <a:solidFill>
                <a:schemeClr val="tx1">
                  <a:lumMod val="15000"/>
                  <a:lumOff val="85000"/>
                </a:schemeClr>
              </a:solidFill>
              <a:round/>
            </a:ln>
            <a:effectLst/>
          </c:spPr>
        </c:majorGridlines>
        <c:title>
          <c:tx>
            <c:strRef>
              <c:f>'ADL 1996'!$Q$166:$Q$167</c:f>
              <c:strCache>
                <c:ptCount val="2"/>
                <c:pt idx="0">
                  <c:v>Wattage</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79302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'ADL 1996'!$Q$165</c:f>
              <c:strCache>
                <c:ptCount val="1"/>
                <c:pt idx="0">
                  <c:v>Shaded Pole</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forward val="100"/>
            <c:dispRSqr val="1"/>
            <c:dispEq val="1"/>
            <c:trendlineLbl>
              <c:layout>
                <c:manualLayout>
                  <c:x val="0.21433021806853583"/>
                  <c:y val="0.1046929977126353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'ADL 1996'!$O$168:$O$172</c:f>
              <c:numCache>
                <c:formatCode>General</c:formatCode>
                <c:ptCount val="5"/>
                <c:pt idx="0">
                  <c:v>6</c:v>
                </c:pt>
                <c:pt idx="1">
                  <c:v>9</c:v>
                </c:pt>
                <c:pt idx="2">
                  <c:v>15</c:v>
                </c:pt>
                <c:pt idx="3">
                  <c:v>20</c:v>
                </c:pt>
                <c:pt idx="4">
                  <c:v>25</c:v>
                </c:pt>
              </c:numCache>
            </c:numRef>
          </c:xVal>
          <c:yVal>
            <c:numRef>
              <c:f>'ADL 1996'!$X$168:$X$172</c:f>
              <c:numCache>
                <c:formatCode>0.0%</c:formatCode>
                <c:ptCount val="5"/>
                <c:pt idx="0">
                  <c:v>0.15</c:v>
                </c:pt>
                <c:pt idx="1">
                  <c:v>0.16981132075471697</c:v>
                </c:pt>
                <c:pt idx="2">
                  <c:v>0.2</c:v>
                </c:pt>
                <c:pt idx="3">
                  <c:v>0.22222222222222221</c:v>
                </c:pt>
                <c:pt idx="4">
                  <c:v>0.22727272727272727</c:v>
                </c:pt>
              </c:numCache>
            </c:numRef>
          </c:yVal>
          <c:smooth val="0"/>
          <c:extLst>
            <c:ext xmlns:c16="http://schemas.microsoft.com/office/drawing/2014/chart" uri="{C3380CC4-5D6E-409C-BE32-E72D297353CC}">
              <c16:uniqueId val="{00000001-4E28-4F61-9F5C-A0C8509F6258}"/>
            </c:ext>
          </c:extLst>
        </c:ser>
        <c:ser>
          <c:idx val="1"/>
          <c:order val="1"/>
          <c:tx>
            <c:strRef>
              <c:f>'ADL 1996'!$S$165:$T$165</c:f>
              <c:strCache>
                <c:ptCount val="1"/>
                <c:pt idx="0">
                  <c:v>PSC</c:v>
                </c:pt>
              </c:strCache>
            </c:strRef>
          </c:tx>
          <c:spPr>
            <a:ln w="25400" cap="rnd">
              <a:noFill/>
              <a:round/>
            </a:ln>
            <a:effectLst/>
          </c:spPr>
          <c:marker>
            <c:symbol val="circle"/>
            <c:size val="5"/>
            <c:spPr>
              <a:solidFill>
                <a:schemeClr val="accent2"/>
              </a:solidFill>
              <a:ln w="9525">
                <a:solidFill>
                  <a:schemeClr val="accent2"/>
                </a:solidFill>
              </a:ln>
              <a:effectLst/>
            </c:spPr>
          </c:marker>
          <c:xVal>
            <c:numRef>
              <c:f>'ADL 1996'!$O$168:$O$177</c:f>
              <c:numCache>
                <c:formatCode>General</c:formatCode>
                <c:ptCount val="10"/>
                <c:pt idx="0">
                  <c:v>6</c:v>
                </c:pt>
                <c:pt idx="1">
                  <c:v>9</c:v>
                </c:pt>
                <c:pt idx="2">
                  <c:v>15</c:v>
                </c:pt>
                <c:pt idx="3">
                  <c:v>20</c:v>
                </c:pt>
                <c:pt idx="4">
                  <c:v>25</c:v>
                </c:pt>
                <c:pt idx="5">
                  <c:v>37</c:v>
                </c:pt>
                <c:pt idx="6">
                  <c:v>50</c:v>
                </c:pt>
                <c:pt idx="7">
                  <c:v>125</c:v>
                </c:pt>
                <c:pt idx="8">
                  <c:v>249</c:v>
                </c:pt>
                <c:pt idx="9">
                  <c:v>373</c:v>
                </c:pt>
              </c:numCache>
            </c:numRef>
          </c:xVal>
          <c:yVal>
            <c:numRef>
              <c:f>'ADL 1996'!$Z$168:$Z$177</c:f>
              <c:numCache>
                <c:formatCode>0.0%</c:formatCode>
                <c:ptCount val="10"/>
                <c:pt idx="0">
                  <c:v>0.4</c:v>
                </c:pt>
                <c:pt idx="1">
                  <c:v>0.42857142857142855</c:v>
                </c:pt>
                <c:pt idx="2">
                  <c:v>0.45454545454545453</c:v>
                </c:pt>
                <c:pt idx="3">
                  <c:v>0.47619047619047616</c:v>
                </c:pt>
                <c:pt idx="4">
                  <c:v>0.49019607843137253</c:v>
                </c:pt>
                <c:pt idx="5">
                  <c:v>0.52857142857142858</c:v>
                </c:pt>
                <c:pt idx="6">
                  <c:v>0.55555555555555558</c:v>
                </c:pt>
                <c:pt idx="7">
                  <c:v>0.61881188118811881</c:v>
                </c:pt>
                <c:pt idx="8">
                  <c:v>0.67297297297297298</c:v>
                </c:pt>
                <c:pt idx="9">
                  <c:v>0.70377358490566033</c:v>
                </c:pt>
              </c:numCache>
            </c:numRef>
          </c:yVal>
          <c:smooth val="0"/>
          <c:extLst>
            <c:ext xmlns:c16="http://schemas.microsoft.com/office/drawing/2014/chart" uri="{C3380CC4-5D6E-409C-BE32-E72D297353CC}">
              <c16:uniqueId val="{00000002-4E28-4F61-9F5C-A0C8509F6258}"/>
            </c:ext>
          </c:extLst>
        </c:ser>
        <c:ser>
          <c:idx val="2"/>
          <c:order val="2"/>
          <c:tx>
            <c:strRef>
              <c:f>'ADL 1996'!$U$165:$V$165</c:f>
              <c:strCache>
                <c:ptCount val="1"/>
                <c:pt idx="0">
                  <c:v>ECM</c:v>
                </c:pt>
              </c:strCache>
            </c:strRef>
          </c:tx>
          <c:spPr>
            <a:ln w="25400" cap="rnd">
              <a:noFill/>
              <a:round/>
            </a:ln>
            <a:effectLst/>
          </c:spPr>
          <c:marker>
            <c:symbol val="circle"/>
            <c:size val="5"/>
            <c:spPr>
              <a:solidFill>
                <a:schemeClr val="accent3"/>
              </a:solidFill>
              <a:ln w="9525">
                <a:solidFill>
                  <a:schemeClr val="accent3"/>
                </a:solidFill>
              </a:ln>
              <a:effectLst/>
            </c:spPr>
          </c:marker>
          <c:xVal>
            <c:numRef>
              <c:f>'ADL 1996'!$O$168:$O$177</c:f>
              <c:numCache>
                <c:formatCode>General</c:formatCode>
                <c:ptCount val="10"/>
                <c:pt idx="0">
                  <c:v>6</c:v>
                </c:pt>
                <c:pt idx="1">
                  <c:v>9</c:v>
                </c:pt>
                <c:pt idx="2">
                  <c:v>15</c:v>
                </c:pt>
                <c:pt idx="3">
                  <c:v>20</c:v>
                </c:pt>
                <c:pt idx="4">
                  <c:v>25</c:v>
                </c:pt>
                <c:pt idx="5">
                  <c:v>37</c:v>
                </c:pt>
                <c:pt idx="6">
                  <c:v>50</c:v>
                </c:pt>
                <c:pt idx="7">
                  <c:v>125</c:v>
                </c:pt>
                <c:pt idx="8">
                  <c:v>249</c:v>
                </c:pt>
                <c:pt idx="9">
                  <c:v>373</c:v>
                </c:pt>
              </c:numCache>
            </c:numRef>
          </c:xVal>
          <c:yVal>
            <c:numRef>
              <c:f>'ADL 1996'!$AB$168:$AB$177</c:f>
              <c:numCache>
                <c:formatCode>0.0%</c:formatCode>
                <c:ptCount val="10"/>
                <c:pt idx="0">
                  <c:v>0.70588235294117652</c:v>
                </c:pt>
                <c:pt idx="1">
                  <c:v>0.72</c:v>
                </c:pt>
                <c:pt idx="2">
                  <c:v>0.73170731707317072</c:v>
                </c:pt>
                <c:pt idx="3">
                  <c:v>0.7407407407407407</c:v>
                </c:pt>
                <c:pt idx="4">
                  <c:v>0.75757575757575757</c:v>
                </c:pt>
                <c:pt idx="5">
                  <c:v>0.75510204081632648</c:v>
                </c:pt>
                <c:pt idx="6">
                  <c:v>0.76923076923076927</c:v>
                </c:pt>
                <c:pt idx="7">
                  <c:v>0.80645161290322576</c:v>
                </c:pt>
                <c:pt idx="8">
                  <c:v>0.81907894736842102</c:v>
                </c:pt>
                <c:pt idx="9">
                  <c:v>0.8288888888888889</c:v>
                </c:pt>
              </c:numCache>
            </c:numRef>
          </c:yVal>
          <c:smooth val="0"/>
          <c:extLst>
            <c:ext xmlns:c16="http://schemas.microsoft.com/office/drawing/2014/chart" uri="{C3380CC4-5D6E-409C-BE32-E72D297353CC}">
              <c16:uniqueId val="{00000003-4E28-4F61-9F5C-A0C8509F6258}"/>
            </c:ext>
          </c:extLst>
        </c:ser>
        <c:dLbls>
          <c:showLegendKey val="0"/>
          <c:showVal val="0"/>
          <c:showCatName val="0"/>
          <c:showSerName val="0"/>
          <c:showPercent val="0"/>
          <c:showBubbleSize val="0"/>
        </c:dLbls>
        <c:axId val="488793024"/>
        <c:axId val="488794008"/>
      </c:scatterChart>
      <c:valAx>
        <c:axId val="488793024"/>
        <c:scaling>
          <c:logBase val="10"/>
          <c:orientation val="minMax"/>
          <c:min val="5"/>
        </c:scaling>
        <c:delete val="0"/>
        <c:axPos val="b"/>
        <c:majorGridlines>
          <c:spPr>
            <a:ln w="9525" cap="flat" cmpd="sng" algn="ctr">
              <a:solidFill>
                <a:schemeClr val="tx1">
                  <a:lumMod val="15000"/>
                  <a:lumOff val="85000"/>
                </a:schemeClr>
              </a:solidFill>
              <a:round/>
            </a:ln>
            <a:effectLst/>
          </c:spPr>
        </c:majorGridlines>
        <c:title>
          <c:tx>
            <c:strRef>
              <c:f>'ADL 1996'!$O$165:$O$167</c:f>
              <c:strCache>
                <c:ptCount val="3"/>
                <c:pt idx="0">
                  <c:v>Motor output (W)</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794008"/>
        <c:crosses val="autoZero"/>
        <c:crossBetween val="midCat"/>
      </c:valAx>
      <c:valAx>
        <c:axId val="488794008"/>
        <c:scaling>
          <c:orientation val="minMax"/>
        </c:scaling>
        <c:delete val="0"/>
        <c:axPos val="l"/>
        <c:majorGridlines>
          <c:spPr>
            <a:ln w="9525" cap="flat" cmpd="sng" algn="ctr">
              <a:solidFill>
                <a:schemeClr val="tx1">
                  <a:lumMod val="15000"/>
                  <a:lumOff val="85000"/>
                </a:schemeClr>
              </a:solidFill>
              <a:round/>
            </a:ln>
            <a:effectLst/>
          </c:spPr>
        </c:majorGridlines>
        <c:title>
          <c:tx>
            <c:strRef>
              <c:f>'ADL 1996'!$X$165:$AC$165</c:f>
              <c:strCache>
                <c:ptCount val="6"/>
                <c:pt idx="0">
                  <c:v>Calculated efficiency</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879302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chart" Target="../charts/chart2.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chart" Target="../charts/chart1.xml"/><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600075</xdr:colOff>
      <xdr:row>137</xdr:row>
      <xdr:rowOff>66675</xdr:rowOff>
    </xdr:from>
    <xdr:to>
      <xdr:col>11</xdr:col>
      <xdr:colOff>589713</xdr:colOff>
      <xdr:row>158</xdr:row>
      <xdr:rowOff>47127</xdr:rowOff>
    </xdr:to>
    <xdr:pic>
      <xdr:nvPicPr>
        <xdr:cNvPr id="2" name="Picture 1">
          <a:extLst>
            <a:ext uri="{FF2B5EF4-FFF2-40B4-BE49-F238E27FC236}">
              <a16:creationId xmlns:a16="http://schemas.microsoft.com/office/drawing/2014/main" id="{2F2D27AE-3E9B-48EF-BC41-D7526C6F427C}"/>
            </a:ext>
          </a:extLst>
        </xdr:cNvPr>
        <xdr:cNvPicPr>
          <a:picLocks noChangeAspect="1"/>
        </xdr:cNvPicPr>
      </xdr:nvPicPr>
      <xdr:blipFill>
        <a:blip xmlns:r="http://schemas.openxmlformats.org/officeDocument/2006/relationships" r:embed="rId1"/>
        <a:stretch>
          <a:fillRect/>
        </a:stretch>
      </xdr:blipFill>
      <xdr:spPr>
        <a:xfrm>
          <a:off x="600075" y="25784175"/>
          <a:ext cx="6695238" cy="3980952"/>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103</xdr:row>
      <xdr:rowOff>0</xdr:rowOff>
    </xdr:from>
    <xdr:to>
      <xdr:col>11</xdr:col>
      <xdr:colOff>589714</xdr:colOff>
      <xdr:row>134</xdr:row>
      <xdr:rowOff>132595</xdr:rowOff>
    </xdr:to>
    <xdr:pic>
      <xdr:nvPicPr>
        <xdr:cNvPr id="3" name="Picture 2">
          <a:extLst>
            <a:ext uri="{FF2B5EF4-FFF2-40B4-BE49-F238E27FC236}">
              <a16:creationId xmlns:a16="http://schemas.microsoft.com/office/drawing/2014/main" id="{B8491D45-BC31-4714-8583-C9CEACE56FA6}"/>
            </a:ext>
          </a:extLst>
        </xdr:cNvPr>
        <xdr:cNvPicPr>
          <a:picLocks noChangeAspect="1"/>
        </xdr:cNvPicPr>
      </xdr:nvPicPr>
      <xdr:blipFill>
        <a:blip xmlns:r="http://schemas.openxmlformats.org/officeDocument/2006/relationships" r:embed="rId2"/>
        <a:stretch>
          <a:fillRect/>
        </a:stretch>
      </xdr:blipFill>
      <xdr:spPr>
        <a:xfrm>
          <a:off x="609600" y="190500"/>
          <a:ext cx="6685714" cy="6038095"/>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67</xdr:row>
      <xdr:rowOff>0</xdr:rowOff>
    </xdr:from>
    <xdr:to>
      <xdr:col>12</xdr:col>
      <xdr:colOff>94400</xdr:colOff>
      <xdr:row>101</xdr:row>
      <xdr:rowOff>94429</xdr:rowOff>
    </xdr:to>
    <xdr:pic>
      <xdr:nvPicPr>
        <xdr:cNvPr id="4" name="Picture 3">
          <a:extLst>
            <a:ext uri="{FF2B5EF4-FFF2-40B4-BE49-F238E27FC236}">
              <a16:creationId xmlns:a16="http://schemas.microsoft.com/office/drawing/2014/main" id="{8384A524-0726-425F-B8BD-F86AA9BB5A54}"/>
            </a:ext>
          </a:extLst>
        </xdr:cNvPr>
        <xdr:cNvPicPr>
          <a:picLocks noChangeAspect="1"/>
        </xdr:cNvPicPr>
      </xdr:nvPicPr>
      <xdr:blipFill>
        <a:blip xmlns:r="http://schemas.openxmlformats.org/officeDocument/2006/relationships" r:embed="rId3"/>
        <a:stretch>
          <a:fillRect/>
        </a:stretch>
      </xdr:blipFill>
      <xdr:spPr>
        <a:xfrm>
          <a:off x="609600" y="190500"/>
          <a:ext cx="6800000" cy="6571429"/>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24</xdr:row>
      <xdr:rowOff>0</xdr:rowOff>
    </xdr:from>
    <xdr:to>
      <xdr:col>12</xdr:col>
      <xdr:colOff>8686</xdr:colOff>
      <xdr:row>61</xdr:row>
      <xdr:rowOff>37214</xdr:rowOff>
    </xdr:to>
    <xdr:pic>
      <xdr:nvPicPr>
        <xdr:cNvPr id="5" name="Picture 4">
          <a:extLst>
            <a:ext uri="{FF2B5EF4-FFF2-40B4-BE49-F238E27FC236}">
              <a16:creationId xmlns:a16="http://schemas.microsoft.com/office/drawing/2014/main" id="{D39E2B7B-F3C6-468C-B3F8-16480107BF98}"/>
            </a:ext>
          </a:extLst>
        </xdr:cNvPr>
        <xdr:cNvPicPr>
          <a:picLocks noChangeAspect="1"/>
        </xdr:cNvPicPr>
      </xdr:nvPicPr>
      <xdr:blipFill>
        <a:blip xmlns:r="http://schemas.openxmlformats.org/officeDocument/2006/relationships" r:embed="rId4"/>
        <a:stretch>
          <a:fillRect/>
        </a:stretch>
      </xdr:blipFill>
      <xdr:spPr>
        <a:xfrm>
          <a:off x="609600" y="190500"/>
          <a:ext cx="6714286" cy="7085714"/>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28575</xdr:colOff>
      <xdr:row>6</xdr:row>
      <xdr:rowOff>47625</xdr:rowOff>
    </xdr:from>
    <xdr:to>
      <xdr:col>11</xdr:col>
      <xdr:colOff>608765</xdr:colOff>
      <xdr:row>19</xdr:row>
      <xdr:rowOff>18744</xdr:rowOff>
    </xdr:to>
    <xdr:pic>
      <xdr:nvPicPr>
        <xdr:cNvPr id="6" name="Picture 5">
          <a:extLst>
            <a:ext uri="{FF2B5EF4-FFF2-40B4-BE49-F238E27FC236}">
              <a16:creationId xmlns:a16="http://schemas.microsoft.com/office/drawing/2014/main" id="{A5F09D55-883B-45A3-938B-2D071622A131}"/>
            </a:ext>
          </a:extLst>
        </xdr:cNvPr>
        <xdr:cNvPicPr>
          <a:picLocks noChangeAspect="1"/>
        </xdr:cNvPicPr>
      </xdr:nvPicPr>
      <xdr:blipFill>
        <a:blip xmlns:r="http://schemas.openxmlformats.org/officeDocument/2006/relationships" r:embed="rId5"/>
        <a:stretch>
          <a:fillRect/>
        </a:stretch>
      </xdr:blipFill>
      <xdr:spPr>
        <a:xfrm>
          <a:off x="638175" y="809625"/>
          <a:ext cx="6676190" cy="2447619"/>
        </a:xfrm>
        <a:prstGeom prst="rect">
          <a:avLst/>
        </a:prstGeom>
      </xdr:spPr>
    </xdr:pic>
    <xdr:clientData/>
  </xdr:twoCellAnchor>
  <xdr:twoCellAnchor editAs="oneCell">
    <xdr:from>
      <xdr:col>1</xdr:col>
      <xdr:colOff>0</xdr:colOff>
      <xdr:row>163</xdr:row>
      <xdr:rowOff>0</xdr:rowOff>
    </xdr:from>
    <xdr:to>
      <xdr:col>11</xdr:col>
      <xdr:colOff>227809</xdr:colOff>
      <xdr:row>180</xdr:row>
      <xdr:rowOff>132929</xdr:rowOff>
    </xdr:to>
    <xdr:pic>
      <xdr:nvPicPr>
        <xdr:cNvPr id="7" name="Picture 6">
          <a:extLst>
            <a:ext uri="{FF2B5EF4-FFF2-40B4-BE49-F238E27FC236}">
              <a16:creationId xmlns:a16="http://schemas.microsoft.com/office/drawing/2014/main" id="{E7F737AA-CE54-41DB-A5C6-7A770662AF05}"/>
            </a:ext>
          </a:extLst>
        </xdr:cNvPr>
        <xdr:cNvPicPr>
          <a:picLocks noChangeAspect="1"/>
        </xdr:cNvPicPr>
      </xdr:nvPicPr>
      <xdr:blipFill>
        <a:blip xmlns:r="http://schemas.openxmlformats.org/officeDocument/2006/relationships" r:embed="rId6"/>
        <a:stretch>
          <a:fillRect/>
        </a:stretch>
      </xdr:blipFill>
      <xdr:spPr>
        <a:xfrm>
          <a:off x="609600" y="30289500"/>
          <a:ext cx="6323809" cy="3371429"/>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183</xdr:row>
      <xdr:rowOff>0</xdr:rowOff>
    </xdr:from>
    <xdr:to>
      <xdr:col>11</xdr:col>
      <xdr:colOff>56381</xdr:colOff>
      <xdr:row>193</xdr:row>
      <xdr:rowOff>171190</xdr:rowOff>
    </xdr:to>
    <xdr:pic>
      <xdr:nvPicPr>
        <xdr:cNvPr id="8" name="Picture 7">
          <a:extLst>
            <a:ext uri="{FF2B5EF4-FFF2-40B4-BE49-F238E27FC236}">
              <a16:creationId xmlns:a16="http://schemas.microsoft.com/office/drawing/2014/main" id="{97E67B76-D9E9-47CF-A09B-F727E6C33B8D}"/>
            </a:ext>
          </a:extLst>
        </xdr:cNvPr>
        <xdr:cNvPicPr>
          <a:picLocks noChangeAspect="1"/>
        </xdr:cNvPicPr>
      </xdr:nvPicPr>
      <xdr:blipFill>
        <a:blip xmlns:r="http://schemas.openxmlformats.org/officeDocument/2006/relationships" r:embed="rId7"/>
        <a:stretch>
          <a:fillRect/>
        </a:stretch>
      </xdr:blipFill>
      <xdr:spPr>
        <a:xfrm>
          <a:off x="609600" y="34099500"/>
          <a:ext cx="6152381" cy="2076190"/>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196</xdr:row>
      <xdr:rowOff>0</xdr:rowOff>
    </xdr:from>
    <xdr:to>
      <xdr:col>11</xdr:col>
      <xdr:colOff>456381</xdr:colOff>
      <xdr:row>204</xdr:row>
      <xdr:rowOff>123619</xdr:rowOff>
    </xdr:to>
    <xdr:pic>
      <xdr:nvPicPr>
        <xdr:cNvPr id="9" name="Picture 8">
          <a:extLst>
            <a:ext uri="{FF2B5EF4-FFF2-40B4-BE49-F238E27FC236}">
              <a16:creationId xmlns:a16="http://schemas.microsoft.com/office/drawing/2014/main" id="{00AE763A-C2B0-4633-8D2C-DF281D687087}"/>
            </a:ext>
          </a:extLst>
        </xdr:cNvPr>
        <xdr:cNvPicPr>
          <a:picLocks noChangeAspect="1"/>
        </xdr:cNvPicPr>
      </xdr:nvPicPr>
      <xdr:blipFill>
        <a:blip xmlns:r="http://schemas.openxmlformats.org/officeDocument/2006/relationships" r:embed="rId8"/>
        <a:stretch>
          <a:fillRect/>
        </a:stretch>
      </xdr:blipFill>
      <xdr:spPr>
        <a:xfrm>
          <a:off x="609600" y="36576000"/>
          <a:ext cx="6552381" cy="1647619"/>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207</xdr:row>
      <xdr:rowOff>0</xdr:rowOff>
    </xdr:from>
    <xdr:to>
      <xdr:col>11</xdr:col>
      <xdr:colOff>408762</xdr:colOff>
      <xdr:row>215</xdr:row>
      <xdr:rowOff>47429</xdr:rowOff>
    </xdr:to>
    <xdr:pic>
      <xdr:nvPicPr>
        <xdr:cNvPr id="10" name="Picture 9">
          <a:extLst>
            <a:ext uri="{FF2B5EF4-FFF2-40B4-BE49-F238E27FC236}">
              <a16:creationId xmlns:a16="http://schemas.microsoft.com/office/drawing/2014/main" id="{80755D95-5EE9-4B50-BB03-C6750E4CE102}"/>
            </a:ext>
          </a:extLst>
        </xdr:cNvPr>
        <xdr:cNvPicPr>
          <a:picLocks noChangeAspect="1"/>
        </xdr:cNvPicPr>
      </xdr:nvPicPr>
      <xdr:blipFill>
        <a:blip xmlns:r="http://schemas.openxmlformats.org/officeDocument/2006/relationships" r:embed="rId9"/>
        <a:stretch>
          <a:fillRect/>
        </a:stretch>
      </xdr:blipFill>
      <xdr:spPr>
        <a:xfrm>
          <a:off x="609600" y="38671500"/>
          <a:ext cx="6504762" cy="1571429"/>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221</xdr:row>
      <xdr:rowOff>0</xdr:rowOff>
    </xdr:from>
    <xdr:to>
      <xdr:col>11</xdr:col>
      <xdr:colOff>351619</xdr:colOff>
      <xdr:row>244</xdr:row>
      <xdr:rowOff>47071</xdr:rowOff>
    </xdr:to>
    <xdr:pic>
      <xdr:nvPicPr>
        <xdr:cNvPr id="11" name="Picture 10">
          <a:extLst>
            <a:ext uri="{FF2B5EF4-FFF2-40B4-BE49-F238E27FC236}">
              <a16:creationId xmlns:a16="http://schemas.microsoft.com/office/drawing/2014/main" id="{06BC061D-C077-48E1-B926-4FA6003A69C3}"/>
            </a:ext>
          </a:extLst>
        </xdr:cNvPr>
        <xdr:cNvPicPr>
          <a:picLocks noChangeAspect="1"/>
        </xdr:cNvPicPr>
      </xdr:nvPicPr>
      <xdr:blipFill>
        <a:blip xmlns:r="http://schemas.openxmlformats.org/officeDocument/2006/relationships" r:embed="rId10"/>
        <a:stretch>
          <a:fillRect/>
        </a:stretch>
      </xdr:blipFill>
      <xdr:spPr>
        <a:xfrm>
          <a:off x="609600" y="41148000"/>
          <a:ext cx="6447619" cy="4428571"/>
        </a:xfrm>
        <a:prstGeom prst="rect">
          <a:avLst/>
        </a:prstGeom>
      </xdr:spPr>
    </xdr:pic>
    <xdr:clientData/>
  </xdr:twoCellAnchor>
  <xdr:twoCellAnchor>
    <xdr:from>
      <xdr:col>21</xdr:col>
      <xdr:colOff>142875</xdr:colOff>
      <xdr:row>181</xdr:row>
      <xdr:rowOff>85724</xdr:rowOff>
    </xdr:from>
    <xdr:to>
      <xdr:col>27</xdr:col>
      <xdr:colOff>361950</xdr:colOff>
      <xdr:row>193</xdr:row>
      <xdr:rowOff>171449</xdr:rowOff>
    </xdr:to>
    <xdr:graphicFrame macro="">
      <xdr:nvGraphicFramePr>
        <xdr:cNvPr id="12" name="Chart 11">
          <a:extLst>
            <a:ext uri="{FF2B5EF4-FFF2-40B4-BE49-F238E27FC236}">
              <a16:creationId xmlns:a16="http://schemas.microsoft.com/office/drawing/2014/main" id="{383B2263-A549-42E9-9E12-1EFBB61B1D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27</xdr:col>
      <xdr:colOff>476250</xdr:colOff>
      <xdr:row>181</xdr:row>
      <xdr:rowOff>57150</xdr:rowOff>
    </xdr:from>
    <xdr:to>
      <xdr:col>36</xdr:col>
      <xdr:colOff>85725</xdr:colOff>
      <xdr:row>193</xdr:row>
      <xdr:rowOff>142875</xdr:rowOff>
    </xdr:to>
    <xdr:graphicFrame macro="">
      <xdr:nvGraphicFramePr>
        <xdr:cNvPr id="13" name="Chart 12">
          <a:extLst>
            <a:ext uri="{FF2B5EF4-FFF2-40B4-BE49-F238E27FC236}">
              <a16:creationId xmlns:a16="http://schemas.microsoft.com/office/drawing/2014/main" id="{0540CD4E-2CC1-458A-A03E-9B1CDEE092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Nicholas Fette" id="{5615802A-0AC4-46A6-B58F-44BF5A9C0223}" userId="Nicholas Fette"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T144" dT="2019-08-09T23:24:58.95" personId="{5615802A-0AC4-46A6-B58F-44BF5A9C0223}" id="{3AF1886C-067A-44F1-AAB0-34D522CF42F1}">
    <text>I don't trust this data point (100 W, 1/20 HP), since this is an outlier from data in table 5-2.</text>
  </threadedComment>
  <threadedComment ref="Q150" dT="2019-08-09T00:28:34.53" personId="{5615802A-0AC4-46A6-B58F-44BF5A9C0223}" id="{8D1C7491-1DC9-4C49-8885-83236332B84E}">
    <text>This is my attempt to calculate kW/CFM for an ECM, using only the data in the ADL 1996 report. Neither one the baseline nor the measure cases lines up with values proposed in the 2018 draft workpaper.</text>
  </threadedComment>
  <threadedComment ref="AF172" dT="2019-08-09T00:01:59.94" personId="{5615802A-0AC4-46A6-B58F-44BF5A9C0223}" id="{567F8DED-7BB4-4801-AA9A-23D3BCCE0037}">
    <text>This is a conservative choice for Hi-Eff factor representing coolers (at 1/20 HP, shaded pole to ECM upgrade).</text>
  </threadedComment>
  <threadedComment ref="X178" dT="2019-08-09T00:00:25.03" personId="{5615802A-0AC4-46A6-B58F-44BF5A9C0223}" id="{F2C73CF0-5EB4-4438-AF4D-4875450B7081}">
    <text>Here is the correct range for shaded pole motor efficiencies.</text>
  </threadedComment>
</ThreadedComment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microsoft.com/office/2017/10/relationships/threadedComment" Target="../threadedComments/threadedComment1.xml"/><Relationship Id="rId2" Type="http://schemas.openxmlformats.org/officeDocument/2006/relationships/hyperlink" Target="https://library.cee1.org/system/files/library/1103/268.pdf" TargetMode="External"/><Relationship Id="rId1" Type="http://schemas.openxmlformats.org/officeDocument/2006/relationships/hyperlink" Target="https://sites.uclouvain.be/energie-plus/fileadmin/resources/04_technique/14_froid_alimentaire/Etudes/bilan_energie_commerce_usa.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45E69-76CB-4ECC-957A-A1057BF3EB27}">
  <dimension ref="B1:AH35"/>
  <sheetViews>
    <sheetView showGridLines="0" workbookViewId="0">
      <selection activeCell="J4" sqref="J4"/>
    </sheetView>
  </sheetViews>
  <sheetFormatPr defaultRowHeight="15" outlineLevelRow="1" x14ac:dyDescent="0.25"/>
  <cols>
    <col min="4" max="4" width="10.140625" bestFit="1" customWidth="1"/>
    <col min="5" max="5" width="14.5703125" customWidth="1"/>
    <col min="6" max="6" width="12.42578125" customWidth="1"/>
    <col min="7" max="7" width="12" customWidth="1"/>
    <col min="8" max="8" width="11.5703125" customWidth="1"/>
    <col min="9" max="9" width="13.7109375" customWidth="1"/>
    <col min="10" max="10" width="14.140625" customWidth="1"/>
    <col min="11" max="11" width="12.140625" customWidth="1"/>
    <col min="13" max="13" width="18" bestFit="1" customWidth="1"/>
  </cols>
  <sheetData>
    <row r="1" spans="3:34" x14ac:dyDescent="0.25">
      <c r="D1" t="s">
        <v>124</v>
      </c>
      <c r="E1" s="2">
        <v>0</v>
      </c>
      <c r="F1" s="2">
        <v>1</v>
      </c>
      <c r="G1" s="2">
        <v>2</v>
      </c>
      <c r="H1" s="2">
        <v>3</v>
      </c>
      <c r="I1" s="2">
        <v>4</v>
      </c>
      <c r="J1" s="2">
        <v>5</v>
      </c>
      <c r="K1" s="2">
        <v>6</v>
      </c>
    </row>
    <row r="2" spans="3:34" x14ac:dyDescent="0.25">
      <c r="D2" t="s">
        <v>113</v>
      </c>
      <c r="E2" t="s">
        <v>115</v>
      </c>
      <c r="F2" t="s">
        <v>115</v>
      </c>
      <c r="G2" t="s">
        <v>115</v>
      </c>
      <c r="H2" t="s">
        <v>115</v>
      </c>
      <c r="I2" t="s">
        <v>119</v>
      </c>
      <c r="J2" t="s">
        <v>119</v>
      </c>
      <c r="K2" t="s">
        <v>119</v>
      </c>
      <c r="M2" t="s">
        <v>121</v>
      </c>
      <c r="N2">
        <v>0</v>
      </c>
      <c r="O2">
        <v>0</v>
      </c>
      <c r="P2">
        <v>0</v>
      </c>
      <c r="Q2">
        <v>0</v>
      </c>
      <c r="R2">
        <v>0</v>
      </c>
      <c r="S2">
        <v>0</v>
      </c>
      <c r="T2">
        <v>1</v>
      </c>
      <c r="U2">
        <v>1</v>
      </c>
      <c r="V2">
        <v>1</v>
      </c>
      <c r="W2">
        <v>1</v>
      </c>
      <c r="X2">
        <v>1</v>
      </c>
      <c r="Y2">
        <v>2</v>
      </c>
      <c r="Z2">
        <v>2</v>
      </c>
      <c r="AA2">
        <v>2</v>
      </c>
      <c r="AB2">
        <v>2</v>
      </c>
      <c r="AC2">
        <v>3</v>
      </c>
      <c r="AD2">
        <v>3</v>
      </c>
      <c r="AE2">
        <v>3</v>
      </c>
      <c r="AF2">
        <v>4</v>
      </c>
      <c r="AG2">
        <v>4</v>
      </c>
      <c r="AH2">
        <v>5</v>
      </c>
    </row>
    <row r="3" spans="3:34" x14ac:dyDescent="0.25">
      <c r="C3" t="s">
        <v>112</v>
      </c>
      <c r="D3" t="s">
        <v>114</v>
      </c>
      <c r="E3" t="s">
        <v>117</v>
      </c>
      <c r="F3" t="s">
        <v>116</v>
      </c>
      <c r="G3" t="s">
        <v>120</v>
      </c>
      <c r="H3" t="s">
        <v>118</v>
      </c>
      <c r="I3" t="s">
        <v>116</v>
      </c>
      <c r="J3" t="s">
        <v>120</v>
      </c>
      <c r="K3" t="s">
        <v>118</v>
      </c>
      <c r="M3" t="s">
        <v>122</v>
      </c>
      <c r="N3">
        <v>1</v>
      </c>
      <c r="O3">
        <v>2</v>
      </c>
      <c r="P3">
        <v>3</v>
      </c>
      <c r="Q3">
        <v>4</v>
      </c>
      <c r="R3">
        <v>5</v>
      </c>
      <c r="S3">
        <v>6</v>
      </c>
      <c r="T3">
        <v>2</v>
      </c>
      <c r="U3">
        <v>3</v>
      </c>
      <c r="V3">
        <v>4</v>
      </c>
      <c r="W3">
        <v>5</v>
      </c>
      <c r="X3">
        <v>6</v>
      </c>
      <c r="Y3">
        <v>3</v>
      </c>
      <c r="Z3">
        <v>4</v>
      </c>
      <c r="AA3">
        <v>5</v>
      </c>
      <c r="AB3">
        <v>6</v>
      </c>
      <c r="AC3">
        <v>4</v>
      </c>
      <c r="AD3">
        <v>5</v>
      </c>
      <c r="AE3">
        <v>6</v>
      </c>
      <c r="AF3">
        <v>5</v>
      </c>
      <c r="AG3">
        <v>6</v>
      </c>
      <c r="AH3">
        <v>6</v>
      </c>
    </row>
    <row r="4" spans="3:34" outlineLevel="1" x14ac:dyDescent="0.25">
      <c r="C4">
        <v>1</v>
      </c>
      <c r="E4" t="s">
        <v>32</v>
      </c>
      <c r="F4" t="s">
        <v>0</v>
      </c>
      <c r="G4" t="s">
        <v>16</v>
      </c>
      <c r="H4" t="s">
        <v>48</v>
      </c>
      <c r="I4" t="s">
        <v>64</v>
      </c>
      <c r="J4" t="s">
        <v>80</v>
      </c>
      <c r="K4" t="s">
        <v>96</v>
      </c>
      <c r="M4" s="1" t="s">
        <v>123</v>
      </c>
      <c r="N4" t="str">
        <f t="shared" ref="N4:AG4" ca="1" si="0">$M4&amp;" """&amp;OFFSET($E4,0,N$2)&amp;""" """&amp;OFFSET($E4,0,N$3)&amp;""""</f>
        <v>diff -u20 "SWCR004-01 WLT PSC_CZ1/SWCR004-01 WLT PSC_CZ1_Baseline.inp" "SWCR004-01 WLT ECM_PSC_CZ1/SWCR004-01 WLT ECM_PSC_CZ1.inp"</v>
      </c>
      <c r="O4" t="str">
        <f t="shared" ca="1" si="0"/>
        <v>diff -u20 "SWCR004-01 WLT PSC_CZ1/SWCR004-01 WLT PSC_CZ1_Baseline.inp" "SWCR004-01 WLT ECM_SPM_CZ1/SWCR004-01 WLT ECM_SPM_CZ1.inp"</v>
      </c>
      <c r="P4" t="str">
        <f t="shared" ca="1" si="0"/>
        <v>diff -u20 "SWCR004-01 WLT PSC_CZ1/SWCR004-01 WLT PSC_CZ1_Baseline.inp" "SWCR004-01 WLT SPM_CZ1/SWCR004-01 WLT SPM_CZ1.inp"</v>
      </c>
      <c r="Q4" t="str">
        <f t="shared" ca="1" si="0"/>
        <v>diff -u20 "SWCR004-01 WLT PSC_CZ1/SWCR004-01 WLT PSC_CZ1_Baseline.inp" "SWCR004-01 WMT ECM_PSC_CZ1/SWCR004-01 WMT ECM_PSC_CZ1.inp"</v>
      </c>
      <c r="R4" t="str">
        <f t="shared" ca="1" si="0"/>
        <v>diff -u20 "SWCR004-01 WLT PSC_CZ1/SWCR004-01 WLT PSC_CZ1_Baseline.inp" "SWCR004-01 WMT ECM_SPM_CZ1/SWCR004-01 WMT ECM_SPM_CZ1.inp"</v>
      </c>
      <c r="S4" t="str">
        <f t="shared" ca="1" si="0"/>
        <v>diff -u20 "SWCR004-01 WLT PSC_CZ1/SWCR004-01 WLT PSC_CZ1_Baseline.inp" "SWCR004-01 WMT SPM_CZ1/SWCR004-01 WMT SPM_CZ1.inp"</v>
      </c>
      <c r="T4" t="str">
        <f t="shared" ca="1" si="0"/>
        <v>diff -u20 "SWCR004-01 WLT ECM_PSC_CZ1/SWCR004-01 WLT ECM_PSC_CZ1.inp" "SWCR004-01 WLT ECM_SPM_CZ1/SWCR004-01 WLT ECM_SPM_CZ1.inp"</v>
      </c>
      <c r="U4" t="str">
        <f t="shared" ca="1" si="0"/>
        <v>diff -u20 "SWCR004-01 WLT ECM_PSC_CZ1/SWCR004-01 WLT ECM_PSC_CZ1.inp" "SWCR004-01 WLT SPM_CZ1/SWCR004-01 WLT SPM_CZ1.inp"</v>
      </c>
      <c r="V4" t="str">
        <f t="shared" ca="1" si="0"/>
        <v>diff -u20 "SWCR004-01 WLT ECM_PSC_CZ1/SWCR004-01 WLT ECM_PSC_CZ1.inp" "SWCR004-01 WMT ECM_PSC_CZ1/SWCR004-01 WMT ECM_PSC_CZ1.inp"</v>
      </c>
      <c r="W4" t="str">
        <f t="shared" ca="1" si="0"/>
        <v>diff -u20 "SWCR004-01 WLT ECM_PSC_CZ1/SWCR004-01 WLT ECM_PSC_CZ1.inp" "SWCR004-01 WMT ECM_SPM_CZ1/SWCR004-01 WMT ECM_SPM_CZ1.inp"</v>
      </c>
      <c r="X4" t="str">
        <f t="shared" ca="1" si="0"/>
        <v>diff -u20 "SWCR004-01 WLT ECM_PSC_CZ1/SWCR004-01 WLT ECM_PSC_CZ1.inp" "SWCR004-01 WMT SPM_CZ1/SWCR004-01 WMT SPM_CZ1.inp"</v>
      </c>
      <c r="Y4" t="str">
        <f t="shared" ca="1" si="0"/>
        <v>diff -u20 "SWCR004-01 WLT ECM_SPM_CZ1/SWCR004-01 WLT ECM_SPM_CZ1.inp" "SWCR004-01 WLT SPM_CZ1/SWCR004-01 WLT SPM_CZ1.inp"</v>
      </c>
      <c r="Z4" t="str">
        <f t="shared" ca="1" si="0"/>
        <v>diff -u20 "SWCR004-01 WLT ECM_SPM_CZ1/SWCR004-01 WLT ECM_SPM_CZ1.inp" "SWCR004-01 WMT ECM_PSC_CZ1/SWCR004-01 WMT ECM_PSC_CZ1.inp"</v>
      </c>
      <c r="AA4" t="str">
        <f t="shared" ca="1" si="0"/>
        <v>diff -u20 "SWCR004-01 WLT ECM_SPM_CZ1/SWCR004-01 WLT ECM_SPM_CZ1.inp" "SWCR004-01 WMT ECM_SPM_CZ1/SWCR004-01 WMT ECM_SPM_CZ1.inp"</v>
      </c>
      <c r="AB4" t="str">
        <f t="shared" ca="1" si="0"/>
        <v>diff -u20 "SWCR004-01 WLT ECM_SPM_CZ1/SWCR004-01 WLT ECM_SPM_CZ1.inp" "SWCR004-01 WMT SPM_CZ1/SWCR004-01 WMT SPM_CZ1.inp"</v>
      </c>
      <c r="AC4" t="str">
        <f t="shared" ca="1" si="0"/>
        <v>diff -u20 "SWCR004-01 WLT SPM_CZ1/SWCR004-01 WLT SPM_CZ1.inp" "SWCR004-01 WMT ECM_PSC_CZ1/SWCR004-01 WMT ECM_PSC_CZ1.inp"</v>
      </c>
      <c r="AD4" t="str">
        <f t="shared" ca="1" si="0"/>
        <v>diff -u20 "SWCR004-01 WLT SPM_CZ1/SWCR004-01 WLT SPM_CZ1.inp" "SWCR004-01 WMT ECM_SPM_CZ1/SWCR004-01 WMT ECM_SPM_CZ1.inp"</v>
      </c>
      <c r="AE4" t="str">
        <f t="shared" ca="1" si="0"/>
        <v>diff -u20 "SWCR004-01 WLT SPM_CZ1/SWCR004-01 WLT SPM_CZ1.inp" "SWCR004-01 WMT SPM_CZ1/SWCR004-01 WMT SPM_CZ1.inp"</v>
      </c>
      <c r="AF4" t="str">
        <f t="shared" ca="1" si="0"/>
        <v>diff -u20 "SWCR004-01 WMT ECM_PSC_CZ1/SWCR004-01 WMT ECM_PSC_CZ1.inp" "SWCR004-01 WMT ECM_SPM_CZ1/SWCR004-01 WMT ECM_SPM_CZ1.inp"</v>
      </c>
      <c r="AG4" t="str">
        <f t="shared" ca="1" si="0"/>
        <v>diff -u20 "SWCR004-01 WMT ECM_PSC_CZ1/SWCR004-01 WMT ECM_PSC_CZ1.inp" "SWCR004-01 WMT SPM_CZ1/SWCR004-01 WMT SPM_CZ1.inp"</v>
      </c>
    </row>
    <row r="5" spans="3:34" outlineLevel="1" x14ac:dyDescent="0.25">
      <c r="C5">
        <v>2</v>
      </c>
      <c r="E5" t="s">
        <v>40</v>
      </c>
      <c r="F5" t="s">
        <v>8</v>
      </c>
      <c r="G5" t="s">
        <v>24</v>
      </c>
      <c r="H5" t="s">
        <v>56</v>
      </c>
      <c r="I5" t="s">
        <v>72</v>
      </c>
      <c r="J5" t="s">
        <v>88</v>
      </c>
      <c r="K5" t="s">
        <v>104</v>
      </c>
    </row>
    <row r="6" spans="3:34" outlineLevel="1" x14ac:dyDescent="0.25">
      <c r="C6">
        <v>3</v>
      </c>
      <c r="E6" t="s">
        <v>41</v>
      </c>
      <c r="F6" t="s">
        <v>9</v>
      </c>
      <c r="G6" t="s">
        <v>25</v>
      </c>
      <c r="H6" t="s">
        <v>57</v>
      </c>
      <c r="I6" t="s">
        <v>73</v>
      </c>
      <c r="J6" t="s">
        <v>89</v>
      </c>
      <c r="K6" t="s">
        <v>105</v>
      </c>
    </row>
    <row r="7" spans="3:34" outlineLevel="1" x14ac:dyDescent="0.25">
      <c r="C7">
        <v>4</v>
      </c>
      <c r="E7" t="s">
        <v>42</v>
      </c>
      <c r="F7" t="s">
        <v>10</v>
      </c>
      <c r="G7" t="s">
        <v>26</v>
      </c>
      <c r="H7" t="s">
        <v>58</v>
      </c>
      <c r="I7" t="s">
        <v>74</v>
      </c>
      <c r="J7" t="s">
        <v>90</v>
      </c>
      <c r="K7" t="s">
        <v>106</v>
      </c>
    </row>
    <row r="8" spans="3:34" outlineLevel="1" x14ac:dyDescent="0.25">
      <c r="C8">
        <v>5</v>
      </c>
      <c r="E8" t="s">
        <v>43</v>
      </c>
      <c r="F8" t="s">
        <v>11</v>
      </c>
      <c r="G8" t="s">
        <v>27</v>
      </c>
      <c r="H8" t="s">
        <v>59</v>
      </c>
      <c r="I8" t="s">
        <v>75</v>
      </c>
      <c r="J8" t="s">
        <v>91</v>
      </c>
      <c r="K8" t="s">
        <v>107</v>
      </c>
    </row>
    <row r="9" spans="3:34" outlineLevel="1" x14ac:dyDescent="0.25">
      <c r="C9">
        <v>6</v>
      </c>
      <c r="E9" t="s">
        <v>44</v>
      </c>
      <c r="F9" t="s">
        <v>12</v>
      </c>
      <c r="G9" t="s">
        <v>28</v>
      </c>
      <c r="H9" t="s">
        <v>60</v>
      </c>
      <c r="I9" t="s">
        <v>76</v>
      </c>
      <c r="J9" t="s">
        <v>92</v>
      </c>
      <c r="K9" t="s">
        <v>108</v>
      </c>
    </row>
    <row r="10" spans="3:34" outlineLevel="1" x14ac:dyDescent="0.25">
      <c r="C10">
        <v>7</v>
      </c>
      <c r="E10" t="s">
        <v>45</v>
      </c>
      <c r="F10" t="s">
        <v>13</v>
      </c>
      <c r="G10" t="s">
        <v>29</v>
      </c>
      <c r="H10" t="s">
        <v>61</v>
      </c>
      <c r="I10" t="s">
        <v>77</v>
      </c>
      <c r="J10" t="s">
        <v>93</v>
      </c>
      <c r="K10" t="s">
        <v>109</v>
      </c>
    </row>
    <row r="11" spans="3:34" outlineLevel="1" x14ac:dyDescent="0.25">
      <c r="C11">
        <v>8</v>
      </c>
      <c r="E11" t="s">
        <v>46</v>
      </c>
      <c r="F11" t="s">
        <v>14</v>
      </c>
      <c r="G11" t="s">
        <v>30</v>
      </c>
      <c r="H11" t="s">
        <v>62</v>
      </c>
      <c r="I11" t="s">
        <v>78</v>
      </c>
      <c r="J11" t="s">
        <v>94</v>
      </c>
      <c r="K11" t="s">
        <v>110</v>
      </c>
    </row>
    <row r="12" spans="3:34" outlineLevel="1" x14ac:dyDescent="0.25">
      <c r="C12">
        <v>9</v>
      </c>
      <c r="E12" t="s">
        <v>47</v>
      </c>
      <c r="F12" t="s">
        <v>15</v>
      </c>
      <c r="G12" t="s">
        <v>31</v>
      </c>
      <c r="H12" t="s">
        <v>63</v>
      </c>
      <c r="I12" t="s">
        <v>79</v>
      </c>
      <c r="J12" t="s">
        <v>95</v>
      </c>
      <c r="K12" t="s">
        <v>111</v>
      </c>
    </row>
    <row r="13" spans="3:34" outlineLevel="1" x14ac:dyDescent="0.25">
      <c r="C13">
        <v>10</v>
      </c>
      <c r="E13" t="s">
        <v>33</v>
      </c>
      <c r="F13" t="s">
        <v>1</v>
      </c>
      <c r="G13" t="s">
        <v>17</v>
      </c>
      <c r="H13" t="s">
        <v>49</v>
      </c>
      <c r="I13" t="s">
        <v>65</v>
      </c>
      <c r="J13" t="s">
        <v>81</v>
      </c>
      <c r="K13" t="s">
        <v>97</v>
      </c>
    </row>
    <row r="14" spans="3:34" outlineLevel="1" x14ac:dyDescent="0.25">
      <c r="C14">
        <v>11</v>
      </c>
      <c r="E14" t="s">
        <v>34</v>
      </c>
      <c r="F14" t="s">
        <v>2</v>
      </c>
      <c r="G14" t="s">
        <v>18</v>
      </c>
      <c r="H14" t="s">
        <v>50</v>
      </c>
      <c r="I14" t="s">
        <v>66</v>
      </c>
      <c r="J14" t="s">
        <v>82</v>
      </c>
      <c r="K14" t="s">
        <v>98</v>
      </c>
    </row>
    <row r="15" spans="3:34" outlineLevel="1" x14ac:dyDescent="0.25">
      <c r="C15">
        <v>12</v>
      </c>
      <c r="E15" t="s">
        <v>35</v>
      </c>
      <c r="F15" t="s">
        <v>3</v>
      </c>
      <c r="G15" t="s">
        <v>19</v>
      </c>
      <c r="H15" t="s">
        <v>51</v>
      </c>
      <c r="I15" t="s">
        <v>67</v>
      </c>
      <c r="J15" t="s">
        <v>83</v>
      </c>
      <c r="K15" t="s">
        <v>99</v>
      </c>
    </row>
    <row r="16" spans="3:34" outlineLevel="1" x14ac:dyDescent="0.25">
      <c r="C16">
        <v>13</v>
      </c>
      <c r="E16" t="s">
        <v>36</v>
      </c>
      <c r="F16" t="s">
        <v>4</v>
      </c>
      <c r="G16" t="s">
        <v>20</v>
      </c>
      <c r="H16" t="s">
        <v>52</v>
      </c>
      <c r="I16" t="s">
        <v>68</v>
      </c>
      <c r="J16" t="s">
        <v>84</v>
      </c>
      <c r="K16" t="s">
        <v>100</v>
      </c>
    </row>
    <row r="17" spans="2:11" outlineLevel="1" x14ac:dyDescent="0.25">
      <c r="C17">
        <v>14</v>
      </c>
      <c r="E17" t="s">
        <v>37</v>
      </c>
      <c r="F17" t="s">
        <v>5</v>
      </c>
      <c r="G17" t="s">
        <v>21</v>
      </c>
      <c r="H17" t="s">
        <v>53</v>
      </c>
      <c r="I17" t="s">
        <v>69</v>
      </c>
      <c r="J17" t="s">
        <v>85</v>
      </c>
      <c r="K17" t="s">
        <v>101</v>
      </c>
    </row>
    <row r="18" spans="2:11" outlineLevel="1" x14ac:dyDescent="0.25">
      <c r="C18">
        <v>15</v>
      </c>
      <c r="E18" t="s">
        <v>38</v>
      </c>
      <c r="F18" t="s">
        <v>6</v>
      </c>
      <c r="G18" t="s">
        <v>22</v>
      </c>
      <c r="H18" t="s">
        <v>54</v>
      </c>
      <c r="I18" t="s">
        <v>70</v>
      </c>
      <c r="J18" t="s">
        <v>86</v>
      </c>
      <c r="K18" t="s">
        <v>102</v>
      </c>
    </row>
    <row r="19" spans="2:11" outlineLevel="1" x14ac:dyDescent="0.25">
      <c r="C19">
        <v>16</v>
      </c>
      <c r="E19" t="s">
        <v>39</v>
      </c>
      <c r="F19" t="s">
        <v>7</v>
      </c>
      <c r="G19" t="s">
        <v>23</v>
      </c>
      <c r="H19" t="s">
        <v>55</v>
      </c>
      <c r="I19" t="s">
        <v>71</v>
      </c>
      <c r="J19" t="s">
        <v>87</v>
      </c>
      <c r="K19" t="s">
        <v>103</v>
      </c>
    </row>
    <row r="20" spans="2:11" outlineLevel="1" x14ac:dyDescent="0.25"/>
    <row r="21" spans="2:11" x14ac:dyDescent="0.25">
      <c r="I21" s="3"/>
      <c r="J21" s="3"/>
      <c r="K21" s="3"/>
    </row>
    <row r="22" spans="2:11" x14ac:dyDescent="0.25">
      <c r="B22" t="s">
        <v>127</v>
      </c>
    </row>
    <row r="23" spans="2:11" x14ac:dyDescent="0.25">
      <c r="D23" s="7" t="s">
        <v>113</v>
      </c>
      <c r="E23" s="6" t="s">
        <v>115</v>
      </c>
      <c r="F23" s="6" t="s">
        <v>115</v>
      </c>
      <c r="G23" s="6" t="s">
        <v>115</v>
      </c>
      <c r="H23" s="6" t="s">
        <v>115</v>
      </c>
      <c r="I23" s="6" t="s">
        <v>119</v>
      </c>
      <c r="J23" s="6" t="s">
        <v>119</v>
      </c>
      <c r="K23" s="6" t="s">
        <v>119</v>
      </c>
    </row>
    <row r="24" spans="2:11" x14ac:dyDescent="0.25">
      <c r="D24" s="7" t="s">
        <v>114</v>
      </c>
      <c r="E24" s="6" t="s">
        <v>117</v>
      </c>
      <c r="F24" s="6" t="s">
        <v>116</v>
      </c>
      <c r="G24" s="6" t="s">
        <v>120</v>
      </c>
      <c r="H24" s="6" t="s">
        <v>118</v>
      </c>
      <c r="I24" s="6" t="s">
        <v>116</v>
      </c>
      <c r="J24" s="6" t="s">
        <v>120</v>
      </c>
      <c r="K24" s="6" t="s">
        <v>118</v>
      </c>
    </row>
    <row r="25" spans="2:11" ht="3.75" customHeight="1" x14ac:dyDescent="0.25">
      <c r="D25" s="5"/>
      <c r="E25" s="5"/>
      <c r="F25" s="5"/>
      <c r="G25" s="5"/>
      <c r="H25" s="5"/>
      <c r="I25" s="5"/>
      <c r="J25" s="5"/>
      <c r="K25" s="5"/>
    </row>
    <row r="26" spans="2:11" x14ac:dyDescent="0.25">
      <c r="B26" s="63" t="s">
        <v>128</v>
      </c>
      <c r="C26" s="64" t="s">
        <v>126</v>
      </c>
      <c r="D26" s="64"/>
      <c r="E26" s="4">
        <v>6.084E-5</v>
      </c>
      <c r="F26" s="4">
        <v>5.0699999999999999E-5</v>
      </c>
      <c r="G26" s="23">
        <v>7.6100000000000007E-5</v>
      </c>
      <c r="H26" s="25">
        <v>1.6899999999999999E-4</v>
      </c>
      <c r="I26" s="4">
        <v>6.084E-5</v>
      </c>
      <c r="J26" s="4">
        <v>6.084E-5</v>
      </c>
      <c r="K26" s="4">
        <v>6.084E-5</v>
      </c>
    </row>
    <row r="27" spans="2:11" x14ac:dyDescent="0.25">
      <c r="B27" s="63"/>
      <c r="C27" s="64" t="s">
        <v>125</v>
      </c>
      <c r="D27" s="64"/>
      <c r="E27" s="4">
        <v>8.619E-5</v>
      </c>
      <c r="F27" s="4">
        <v>8.619E-5</v>
      </c>
      <c r="G27" s="4">
        <v>8.619E-5</v>
      </c>
      <c r="H27" s="4">
        <v>8.619E-5</v>
      </c>
      <c r="I27" s="4">
        <v>7.1799999999999997E-5</v>
      </c>
      <c r="J27" s="23">
        <v>7.6100000000000007E-5</v>
      </c>
      <c r="K27" s="25">
        <v>1.6899999999999999E-4</v>
      </c>
    </row>
    <row r="29" spans="2:11" x14ac:dyDescent="0.25">
      <c r="B29" t="s">
        <v>154</v>
      </c>
    </row>
    <row r="30" spans="2:11" x14ac:dyDescent="0.25">
      <c r="B30" s="63" t="s">
        <v>128</v>
      </c>
      <c r="C30" s="64" t="s">
        <v>126</v>
      </c>
      <c r="D30" s="64"/>
      <c r="E30" s="19">
        <f>E26/$H26</f>
        <v>0.36000000000000004</v>
      </c>
      <c r="F30" s="18">
        <f>F26/$H26</f>
        <v>0.3</v>
      </c>
      <c r="G30" s="28">
        <f>G26/$H26</f>
        <v>0.45029585798816574</v>
      </c>
      <c r="H30" s="27">
        <f>H26/$H26</f>
        <v>1</v>
      </c>
      <c r="I30" s="4"/>
      <c r="J30" s="4"/>
      <c r="K30" s="4"/>
    </row>
    <row r="31" spans="2:11" x14ac:dyDescent="0.25">
      <c r="B31" s="63"/>
      <c r="C31" s="64" t="s">
        <v>125</v>
      </c>
      <c r="D31" s="64"/>
      <c r="E31" s="19">
        <f t="shared" ref="E31:J31" si="1">E27/$K27</f>
        <v>0.51</v>
      </c>
      <c r="F31" s="18"/>
      <c r="G31" s="18"/>
      <c r="H31" s="18"/>
      <c r="I31" s="18">
        <f t="shared" si="1"/>
        <v>0.42485207100591715</v>
      </c>
      <c r="J31" s="28">
        <f t="shared" si="1"/>
        <v>0.45029585798816574</v>
      </c>
      <c r="K31" s="27">
        <f>K27/$K27</f>
        <v>1</v>
      </c>
    </row>
    <row r="33" spans="5:6" x14ac:dyDescent="0.25">
      <c r="E33" s="20" t="s">
        <v>155</v>
      </c>
      <c r="F33" s="20"/>
    </row>
    <row r="34" spans="5:6" x14ac:dyDescent="0.25">
      <c r="E34" s="24" t="s">
        <v>158</v>
      </c>
      <c r="F34" s="24"/>
    </row>
    <row r="35" spans="5:6" x14ac:dyDescent="0.25">
      <c r="E35" s="26" t="s">
        <v>159</v>
      </c>
      <c r="F35" s="26"/>
    </row>
  </sheetData>
  <mergeCells count="6">
    <mergeCell ref="B26:B27"/>
    <mergeCell ref="C26:D26"/>
    <mergeCell ref="C27:D27"/>
    <mergeCell ref="B30:B31"/>
    <mergeCell ref="C30:D30"/>
    <mergeCell ref="C31:D3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B304D-DBDD-4E28-A4DE-32DE5332743E}">
  <dimension ref="B2:AM220"/>
  <sheetViews>
    <sheetView tabSelected="1" zoomScaleNormal="100" workbookViewId="0">
      <selection activeCell="E431" sqref="E431"/>
    </sheetView>
  </sheetViews>
  <sheetFormatPr defaultRowHeight="15" x14ac:dyDescent="0.25"/>
  <cols>
    <col min="15" max="17" width="9.140625" customWidth="1"/>
    <col min="39" max="39" width="9.5703125" bestFit="1" customWidth="1"/>
  </cols>
  <sheetData>
    <row r="2" spans="2:2" ht="20.25" thickBot="1" x14ac:dyDescent="0.35">
      <c r="B2" s="8" t="s">
        <v>130</v>
      </c>
    </row>
    <row r="3" spans="2:2" ht="15.75" thickTop="1" x14ac:dyDescent="0.25">
      <c r="B3" t="s">
        <v>171</v>
      </c>
    </row>
    <row r="4" spans="2:2" x14ac:dyDescent="0.25">
      <c r="B4" s="32" t="s">
        <v>172</v>
      </c>
    </row>
    <row r="139" spans="15:22" x14ac:dyDescent="0.25">
      <c r="O139" t="s">
        <v>131</v>
      </c>
    </row>
    <row r="140" spans="15:22" x14ac:dyDescent="0.25">
      <c r="Q140" s="65" t="s">
        <v>133</v>
      </c>
      <c r="R140" s="75"/>
      <c r="S140" s="66"/>
      <c r="T140" s="65" t="s">
        <v>134</v>
      </c>
      <c r="U140" s="75"/>
      <c r="V140" s="66"/>
    </row>
    <row r="141" spans="15:22" x14ac:dyDescent="0.25">
      <c r="Q141" s="94" t="s">
        <v>192</v>
      </c>
      <c r="R141" s="95"/>
      <c r="S141" s="95"/>
      <c r="T141" s="95"/>
      <c r="U141" s="95"/>
      <c r="V141" s="96"/>
    </row>
    <row r="142" spans="15:22" x14ac:dyDescent="0.25">
      <c r="O142" s="93" t="s">
        <v>132</v>
      </c>
      <c r="P142" s="93"/>
      <c r="Q142" s="65">
        <v>1680</v>
      </c>
      <c r="R142" s="75"/>
      <c r="S142" s="66"/>
      <c r="T142" s="65">
        <f>2*3200</f>
        <v>6400</v>
      </c>
      <c r="U142" s="75"/>
      <c r="V142" s="66"/>
    </row>
    <row r="143" spans="15:22" x14ac:dyDescent="0.25">
      <c r="O143" s="93" t="s">
        <v>135</v>
      </c>
      <c r="P143" s="93"/>
      <c r="Q143" s="65">
        <v>2</v>
      </c>
      <c r="R143" s="75"/>
      <c r="S143" s="66"/>
      <c r="T143" s="65">
        <f>2*4</f>
        <v>8</v>
      </c>
      <c r="U143" s="75"/>
      <c r="V143" s="66"/>
    </row>
    <row r="144" spans="15:22" x14ac:dyDescent="0.25">
      <c r="O144" s="93" t="s">
        <v>136</v>
      </c>
      <c r="P144" s="93"/>
      <c r="Q144" s="65">
        <v>90</v>
      </c>
      <c r="R144" s="75"/>
      <c r="S144" s="66"/>
      <c r="T144" s="65">
        <v>100</v>
      </c>
      <c r="U144" s="75"/>
      <c r="V144" s="66"/>
    </row>
    <row r="145" spans="15:26" x14ac:dyDescent="0.25">
      <c r="O145" s="93" t="s">
        <v>137</v>
      </c>
      <c r="P145" s="93"/>
      <c r="Q145" s="76" t="s">
        <v>138</v>
      </c>
      <c r="R145" s="77"/>
      <c r="S145" s="78"/>
      <c r="T145" s="79" t="s">
        <v>139</v>
      </c>
      <c r="U145" s="80"/>
      <c r="V145" s="81"/>
    </row>
    <row r="146" spans="15:26" x14ac:dyDescent="0.25">
      <c r="O146" s="93" t="s">
        <v>140</v>
      </c>
      <c r="P146" s="93"/>
      <c r="Q146" s="65">
        <f>Q143*Q144*0.001</f>
        <v>0.18</v>
      </c>
      <c r="R146" s="75"/>
      <c r="S146" s="66"/>
      <c r="T146" s="65">
        <f>T143*T144*0.001</f>
        <v>0.8</v>
      </c>
      <c r="U146" s="75"/>
      <c r="V146" s="66"/>
    </row>
    <row r="147" spans="15:26" x14ac:dyDescent="0.25">
      <c r="O147" s="93" t="s">
        <v>141</v>
      </c>
      <c r="P147" s="93"/>
      <c r="Q147" s="82">
        <f>Q146/Q142</f>
        <v>1.0714285714285714E-4</v>
      </c>
      <c r="R147" s="83"/>
      <c r="S147" s="84"/>
      <c r="T147" s="82">
        <f>T146/T142</f>
        <v>1.25E-4</v>
      </c>
      <c r="U147" s="83"/>
      <c r="V147" s="84"/>
    </row>
    <row r="148" spans="15:26" x14ac:dyDescent="0.25">
      <c r="O148" s="49"/>
      <c r="P148" s="50"/>
      <c r="Q148" s="50"/>
      <c r="R148" s="50"/>
      <c r="S148" s="50"/>
      <c r="T148" s="50"/>
      <c r="U148" s="50"/>
      <c r="V148" s="51"/>
    </row>
    <row r="149" spans="15:26" x14ac:dyDescent="0.25">
      <c r="O149" s="52" t="s">
        <v>169</v>
      </c>
      <c r="P149" s="5"/>
      <c r="Q149" s="53">
        <f>$AF$171</f>
        <v>0.3</v>
      </c>
      <c r="R149" s="5"/>
      <c r="S149" s="5"/>
      <c r="T149" s="53">
        <f>$AF$172</f>
        <v>0.3</v>
      </c>
      <c r="U149" s="5"/>
      <c r="V149" s="54"/>
    </row>
    <row r="150" spans="15:26" x14ac:dyDescent="0.25">
      <c r="O150" s="52" t="s">
        <v>170</v>
      </c>
      <c r="P150" s="5"/>
      <c r="Q150" s="5">
        <f>Q147*Q149</f>
        <v>3.2142857142857137E-5</v>
      </c>
      <c r="R150" s="5"/>
      <c r="S150" s="5"/>
      <c r="T150" s="5">
        <f>T147*T149</f>
        <v>3.7499999999999997E-5</v>
      </c>
      <c r="U150" s="5"/>
      <c r="V150" s="54"/>
    </row>
    <row r="151" spans="15:26" x14ac:dyDescent="0.25">
      <c r="O151" s="52"/>
      <c r="P151" s="5"/>
      <c r="Q151" s="5"/>
      <c r="R151" s="5"/>
      <c r="S151" s="5"/>
      <c r="T151" s="5"/>
      <c r="U151" s="5"/>
      <c r="V151" s="54"/>
    </row>
    <row r="152" spans="15:26" x14ac:dyDescent="0.25">
      <c r="O152" s="55" t="s">
        <v>181</v>
      </c>
      <c r="P152" s="39"/>
      <c r="Q152" s="39">
        <f>Q142/Q143</f>
        <v>840</v>
      </c>
      <c r="R152" s="39"/>
      <c r="S152" s="39"/>
      <c r="T152" s="39">
        <f>T142/T143</f>
        <v>800</v>
      </c>
      <c r="U152" s="39"/>
      <c r="V152" s="56"/>
    </row>
    <row r="154" spans="15:26" x14ac:dyDescent="0.25">
      <c r="O154" s="57" t="s">
        <v>183</v>
      </c>
      <c r="P154" s="58"/>
      <c r="Q154" s="65" t="s">
        <v>188</v>
      </c>
      <c r="R154" s="75"/>
      <c r="S154" s="66"/>
      <c r="T154" s="65" t="s">
        <v>190</v>
      </c>
      <c r="U154" s="75"/>
      <c r="V154" s="66"/>
      <c r="W154" s="65" t="s">
        <v>189</v>
      </c>
      <c r="X154" s="66"/>
      <c r="Y154" s="65" t="s">
        <v>191</v>
      </c>
      <c r="Z154" s="66"/>
    </row>
    <row r="155" spans="15:26" x14ac:dyDescent="0.25">
      <c r="O155" s="57" t="s">
        <v>185</v>
      </c>
      <c r="P155" s="58"/>
      <c r="Q155" s="10">
        <f>(60000*0.95)/(1.25*8)</f>
        <v>5700</v>
      </c>
      <c r="R155" s="10"/>
      <c r="S155" s="10"/>
      <c r="T155" s="10">
        <f>(75000*0.95)/(1.2*10)</f>
        <v>5937.5</v>
      </c>
      <c r="U155" s="10"/>
      <c r="V155" s="10"/>
      <c r="W155" s="10">
        <f>57000/(1.25*8)</f>
        <v>5700</v>
      </c>
      <c r="X155" s="10"/>
      <c r="Y155" s="10">
        <f>71250/(1.2*10)</f>
        <v>5937.5</v>
      </c>
      <c r="Z155" s="10"/>
    </row>
    <row r="156" spans="15:26" x14ac:dyDescent="0.25">
      <c r="O156" s="57" t="s">
        <v>184</v>
      </c>
      <c r="P156" s="58"/>
      <c r="Q156" s="10">
        <v>1.6899999999999999E-4</v>
      </c>
      <c r="R156" s="10"/>
      <c r="S156" s="10"/>
      <c r="T156" s="10">
        <v>1.6899999999999999E-4</v>
      </c>
      <c r="U156" s="10"/>
      <c r="V156" s="10"/>
      <c r="W156" s="10">
        <v>1.6899999999999999E-4</v>
      </c>
      <c r="X156" s="10"/>
      <c r="Y156" s="10">
        <v>1.6899999999999999E-4</v>
      </c>
      <c r="Z156" s="10"/>
    </row>
    <row r="157" spans="15:26" x14ac:dyDescent="0.25">
      <c r="O157" s="57" t="s">
        <v>187</v>
      </c>
      <c r="P157" s="58"/>
      <c r="Q157" s="10">
        <f>Q155*Q156*1000</f>
        <v>963.3</v>
      </c>
      <c r="R157" s="10"/>
      <c r="S157" s="10"/>
      <c r="T157" s="10">
        <f>T155*T156*1000</f>
        <v>1003.4375</v>
      </c>
      <c r="U157" s="10"/>
      <c r="V157" s="10"/>
      <c r="W157" s="10">
        <f>W155*W156*1000</f>
        <v>963.3</v>
      </c>
      <c r="X157" s="10"/>
      <c r="Y157" s="10">
        <f>Y155*Y156*1000</f>
        <v>1003.4375</v>
      </c>
      <c r="Z157" s="10"/>
    </row>
    <row r="158" spans="15:26" x14ac:dyDescent="0.25">
      <c r="O158" s="57" t="s">
        <v>186</v>
      </c>
      <c r="P158" s="58"/>
      <c r="Q158" s="10">
        <f>$Q$171</f>
        <v>90</v>
      </c>
      <c r="R158" s="10"/>
      <c r="S158" s="10"/>
      <c r="T158" s="59">
        <f>$Q$173</f>
        <v>146.61523132128272</v>
      </c>
      <c r="U158" s="10">
        <f>$T$144</f>
        <v>100</v>
      </c>
      <c r="V158" s="10">
        <f>$Q$171</f>
        <v>90</v>
      </c>
      <c r="W158" s="10">
        <f>$Q$171</f>
        <v>90</v>
      </c>
      <c r="X158" s="10"/>
      <c r="Y158" s="59">
        <f>$Q$173</f>
        <v>146.61523132128272</v>
      </c>
      <c r="Z158" s="10">
        <v>100</v>
      </c>
    </row>
    <row r="159" spans="15:26" x14ac:dyDescent="0.25">
      <c r="O159" s="57" t="s">
        <v>194</v>
      </c>
      <c r="P159" s="58"/>
      <c r="Q159" s="59">
        <f>Q157/Q158</f>
        <v>10.703333333333333</v>
      </c>
      <c r="R159" s="10"/>
      <c r="S159" s="10"/>
      <c r="T159" s="59">
        <f>T157/T158</f>
        <v>6.8440194852684497</v>
      </c>
      <c r="U159" s="10">
        <f>$T157/U158</f>
        <v>10.034375000000001</v>
      </c>
      <c r="V159" s="10">
        <f>$T157/V158</f>
        <v>11.149305555555555</v>
      </c>
      <c r="W159" s="59">
        <f>W157/W158</f>
        <v>10.703333333333333</v>
      </c>
      <c r="X159" s="10"/>
      <c r="Y159" s="59">
        <f>Y157/Y158</f>
        <v>6.8440194852684497</v>
      </c>
      <c r="Z159" s="10">
        <f>Y157/Z158</f>
        <v>10.034375000000001</v>
      </c>
    </row>
    <row r="160" spans="15:26" x14ac:dyDescent="0.25">
      <c r="O160" s="62" t="s">
        <v>193</v>
      </c>
      <c r="Q160" s="60">
        <f>ROUND(Q159,0)</f>
        <v>11</v>
      </c>
      <c r="R160" s="61"/>
      <c r="S160" s="61"/>
      <c r="T160" s="60">
        <f>ROUND(T159,0)</f>
        <v>7</v>
      </c>
      <c r="U160" s="61">
        <f>ROUND(U159,0)</f>
        <v>10</v>
      </c>
      <c r="V160" s="61">
        <f>ROUND(V159,0)</f>
        <v>11</v>
      </c>
      <c r="W160" s="61">
        <f>ROUND(W159,0)</f>
        <v>11</v>
      </c>
      <c r="X160" s="61"/>
      <c r="Y160" s="61">
        <f>ROUND(Y159,0)</f>
        <v>7</v>
      </c>
      <c r="Z160" s="61">
        <f>ROUND(Z159,0)</f>
        <v>10</v>
      </c>
    </row>
    <row r="164" spans="15:39" x14ac:dyDescent="0.25">
      <c r="O164" t="s">
        <v>142</v>
      </c>
      <c r="W164" s="5"/>
    </row>
    <row r="165" spans="15:39" ht="15" customHeight="1" x14ac:dyDescent="0.25">
      <c r="O165" s="92" t="s">
        <v>149</v>
      </c>
      <c r="P165" s="92" t="s">
        <v>150</v>
      </c>
      <c r="Q165" s="92" t="s">
        <v>143</v>
      </c>
      <c r="R165" s="92"/>
      <c r="S165" s="92" t="s">
        <v>146</v>
      </c>
      <c r="T165" s="92"/>
      <c r="U165" s="92" t="s">
        <v>147</v>
      </c>
      <c r="V165" s="92"/>
      <c r="W165" s="15"/>
      <c r="X165" s="72" t="s">
        <v>151</v>
      </c>
      <c r="Y165" s="72"/>
      <c r="Z165" s="72"/>
      <c r="AA165" s="72"/>
      <c r="AB165" s="72"/>
      <c r="AC165" s="72"/>
      <c r="AD165" s="72" t="s">
        <v>160</v>
      </c>
      <c r="AE165" s="72"/>
      <c r="AF165" s="72"/>
      <c r="AG165" s="72"/>
      <c r="AH165" s="72" t="s">
        <v>161</v>
      </c>
      <c r="AI165" s="72"/>
    </row>
    <row r="166" spans="15:39" ht="15" customHeight="1" x14ac:dyDescent="0.25">
      <c r="O166" s="92"/>
      <c r="P166" s="92"/>
      <c r="Q166" s="92" t="s">
        <v>144</v>
      </c>
      <c r="R166" s="92" t="s">
        <v>145</v>
      </c>
      <c r="S166" s="92" t="s">
        <v>144</v>
      </c>
      <c r="T166" s="92" t="s">
        <v>145</v>
      </c>
      <c r="U166" s="92" t="s">
        <v>144</v>
      </c>
      <c r="V166" s="92" t="s">
        <v>148</v>
      </c>
      <c r="W166" s="15"/>
      <c r="X166" s="92" t="s">
        <v>152</v>
      </c>
      <c r="Y166" s="92"/>
      <c r="Z166" s="92" t="s">
        <v>146</v>
      </c>
      <c r="AA166" s="92"/>
      <c r="AB166" s="92" t="s">
        <v>147</v>
      </c>
      <c r="AC166" s="92"/>
      <c r="AD166" s="72" t="s">
        <v>146</v>
      </c>
      <c r="AE166" s="72"/>
      <c r="AF166" s="72" t="s">
        <v>147</v>
      </c>
      <c r="AG166" s="72"/>
      <c r="AH166" s="72" t="s">
        <v>147</v>
      </c>
      <c r="AI166" s="72"/>
    </row>
    <row r="167" spans="15:39" x14ac:dyDescent="0.25">
      <c r="O167" s="92"/>
      <c r="P167" s="92"/>
      <c r="Q167" s="92"/>
      <c r="R167" s="92"/>
      <c r="S167" s="92"/>
      <c r="T167" s="92"/>
      <c r="U167" s="92"/>
      <c r="V167" s="92"/>
      <c r="W167" s="15"/>
      <c r="X167" s="92"/>
      <c r="Y167" s="92"/>
      <c r="Z167" s="92"/>
      <c r="AA167" s="92"/>
      <c r="AB167" s="92"/>
      <c r="AC167" s="92"/>
      <c r="AD167" s="72"/>
      <c r="AE167" s="72"/>
      <c r="AF167" s="72"/>
      <c r="AG167" s="72"/>
      <c r="AH167" s="72"/>
      <c r="AI167" s="72"/>
    </row>
    <row r="168" spans="15:39" x14ac:dyDescent="0.25">
      <c r="O168" s="10">
        <v>6</v>
      </c>
      <c r="P168" s="11">
        <v>8.3333333333333332E-3</v>
      </c>
      <c r="Q168" s="10">
        <v>40</v>
      </c>
      <c r="R168" s="12">
        <v>7</v>
      </c>
      <c r="S168" s="10">
        <v>15</v>
      </c>
      <c r="T168" s="12">
        <v>25</v>
      </c>
      <c r="U168" s="10">
        <v>8.5</v>
      </c>
      <c r="V168" s="12">
        <v>35</v>
      </c>
      <c r="W168" s="15"/>
      <c r="X168" s="74">
        <f>$O168/$Q168</f>
        <v>0.15</v>
      </c>
      <c r="Y168" s="74"/>
      <c r="Z168" s="74">
        <f>$O168/$S168</f>
        <v>0.4</v>
      </c>
      <c r="AA168" s="74"/>
      <c r="AB168" s="74">
        <f>$O168/$U168</f>
        <v>0.70588235294117652</v>
      </c>
      <c r="AC168" s="74"/>
      <c r="AD168" s="71">
        <f>$S168/$Q168</f>
        <v>0.375</v>
      </c>
      <c r="AE168" s="71"/>
      <c r="AF168" s="67">
        <f t="shared" ref="AF168:AF173" si="0">$U168/$Q168</f>
        <v>0.21249999999999999</v>
      </c>
      <c r="AG168" s="68"/>
      <c r="AH168" s="71">
        <f>$U168/$S168</f>
        <v>0.56666666666666665</v>
      </c>
      <c r="AI168" s="71"/>
    </row>
    <row r="169" spans="15:39" x14ac:dyDescent="0.25">
      <c r="O169" s="10">
        <v>9</v>
      </c>
      <c r="P169" s="13">
        <v>1.2500000000000001E-2</v>
      </c>
      <c r="Q169" s="10">
        <v>53</v>
      </c>
      <c r="R169" s="12">
        <v>10</v>
      </c>
      <c r="S169" s="10">
        <v>21</v>
      </c>
      <c r="T169" s="12">
        <v>28</v>
      </c>
      <c r="U169" s="10">
        <v>12.5</v>
      </c>
      <c r="V169" s="12">
        <v>40</v>
      </c>
      <c r="W169" s="15"/>
      <c r="X169" s="74">
        <f t="shared" ref="X169:X173" si="1">$O169/$Q169</f>
        <v>0.16981132075471697</v>
      </c>
      <c r="Y169" s="74"/>
      <c r="Z169" s="74">
        <f t="shared" ref="Z169:Z177" si="2">$O169/$S169</f>
        <v>0.42857142857142855</v>
      </c>
      <c r="AA169" s="74"/>
      <c r="AB169" s="74">
        <f t="shared" ref="AB169:AB177" si="3">$O169/$U169</f>
        <v>0.72</v>
      </c>
      <c r="AC169" s="74"/>
      <c r="AD169" s="71">
        <f t="shared" ref="AD169:AD173" si="4">$S169/$Q169</f>
        <v>0.39622641509433965</v>
      </c>
      <c r="AE169" s="71"/>
      <c r="AF169" s="67">
        <f t="shared" si="0"/>
        <v>0.23584905660377359</v>
      </c>
      <c r="AG169" s="68"/>
      <c r="AH169" s="71">
        <f t="shared" ref="AH169:AH177" si="5">$U169/$S169</f>
        <v>0.59523809523809523</v>
      </c>
      <c r="AI169" s="71"/>
      <c r="AK169" t="s">
        <v>195</v>
      </c>
    </row>
    <row r="170" spans="15:39" x14ac:dyDescent="0.25">
      <c r="O170" s="10">
        <v>15</v>
      </c>
      <c r="P170" s="13">
        <f t="shared" ref="P170:P172" si="6">O170*0.00134102</f>
        <v>2.0115300000000003E-2</v>
      </c>
      <c r="Q170" s="10">
        <v>75</v>
      </c>
      <c r="R170" s="12">
        <v>15</v>
      </c>
      <c r="S170" s="10">
        <v>33</v>
      </c>
      <c r="T170" s="12">
        <v>33</v>
      </c>
      <c r="U170" s="10">
        <v>20.5</v>
      </c>
      <c r="V170" s="12">
        <v>42</v>
      </c>
      <c r="W170" s="15"/>
      <c r="X170" s="74">
        <f t="shared" si="1"/>
        <v>0.2</v>
      </c>
      <c r="Y170" s="74"/>
      <c r="Z170" s="74">
        <f t="shared" si="2"/>
        <v>0.45454545454545453</v>
      </c>
      <c r="AA170" s="74"/>
      <c r="AB170" s="74">
        <f t="shared" si="3"/>
        <v>0.73170731707317072</v>
      </c>
      <c r="AC170" s="74"/>
      <c r="AD170" s="71">
        <f t="shared" si="4"/>
        <v>0.44</v>
      </c>
      <c r="AE170" s="71"/>
      <c r="AF170" s="67">
        <f t="shared" si="0"/>
        <v>0.27333333333333332</v>
      </c>
      <c r="AG170" s="68"/>
      <c r="AH170" s="71">
        <f t="shared" si="5"/>
        <v>0.62121212121212122</v>
      </c>
      <c r="AI170" s="71"/>
      <c r="AK170" t="s">
        <v>196</v>
      </c>
      <c r="AL170" t="s">
        <v>146</v>
      </c>
      <c r="AM170" t="s">
        <v>147</v>
      </c>
    </row>
    <row r="171" spans="15:39" x14ac:dyDescent="0.25">
      <c r="O171" s="10">
        <v>20</v>
      </c>
      <c r="P171" s="21">
        <v>2.5000000000000001E-2</v>
      </c>
      <c r="Q171" s="10">
        <v>90</v>
      </c>
      <c r="R171" s="12">
        <v>20</v>
      </c>
      <c r="S171" s="10">
        <v>42</v>
      </c>
      <c r="T171" s="12">
        <v>35</v>
      </c>
      <c r="U171" s="10">
        <v>27</v>
      </c>
      <c r="V171" s="12">
        <v>45</v>
      </c>
      <c r="W171" s="15"/>
      <c r="X171" s="74">
        <f t="shared" si="1"/>
        <v>0.22222222222222221</v>
      </c>
      <c r="Y171" s="74"/>
      <c r="Z171" s="74">
        <f t="shared" si="2"/>
        <v>0.47619047619047616</v>
      </c>
      <c r="AA171" s="74"/>
      <c r="AB171" s="74">
        <f t="shared" si="3"/>
        <v>0.7407407407407407</v>
      </c>
      <c r="AC171" s="74"/>
      <c r="AD171" s="88">
        <f t="shared" si="4"/>
        <v>0.46666666666666667</v>
      </c>
      <c r="AE171" s="88"/>
      <c r="AF171" s="90">
        <f t="shared" si="0"/>
        <v>0.3</v>
      </c>
      <c r="AG171" s="91"/>
      <c r="AH171" s="71">
        <f t="shared" si="5"/>
        <v>0.6428571428571429</v>
      </c>
      <c r="AI171" s="71"/>
      <c r="AK171">
        <v>169</v>
      </c>
      <c r="AL171" s="34">
        <f>$AK171*AD171</f>
        <v>78.866666666666674</v>
      </c>
      <c r="AM171" s="34">
        <f>$AK171*AF171</f>
        <v>50.699999999999996</v>
      </c>
    </row>
    <row r="172" spans="15:39" x14ac:dyDescent="0.25">
      <c r="O172" s="10">
        <v>25</v>
      </c>
      <c r="P172" s="13">
        <f t="shared" si="6"/>
        <v>3.35255E-2</v>
      </c>
      <c r="Q172" s="10">
        <v>110</v>
      </c>
      <c r="R172" s="12">
        <v>25</v>
      </c>
      <c r="S172" s="10">
        <v>51</v>
      </c>
      <c r="T172" s="12">
        <v>37</v>
      </c>
      <c r="U172" s="10">
        <v>33</v>
      </c>
      <c r="V172" s="12">
        <v>48</v>
      </c>
      <c r="W172" s="15"/>
      <c r="X172" s="74">
        <f t="shared" si="1"/>
        <v>0.22727272727272727</v>
      </c>
      <c r="Y172" s="74"/>
      <c r="Z172" s="74">
        <f t="shared" si="2"/>
        <v>0.49019607843137253</v>
      </c>
      <c r="AA172" s="74"/>
      <c r="AB172" s="74">
        <f t="shared" si="3"/>
        <v>0.75757575757575757</v>
      </c>
      <c r="AC172" s="74"/>
      <c r="AD172" s="71">
        <f t="shared" si="4"/>
        <v>0.46363636363636362</v>
      </c>
      <c r="AE172" s="71"/>
      <c r="AF172" s="67">
        <f t="shared" si="0"/>
        <v>0.3</v>
      </c>
      <c r="AG172" s="68"/>
      <c r="AH172" s="71">
        <f t="shared" si="5"/>
        <v>0.6470588235294118</v>
      </c>
      <c r="AI172" s="71"/>
    </row>
    <row r="173" spans="15:39" x14ac:dyDescent="0.25">
      <c r="O173" s="10">
        <v>37</v>
      </c>
      <c r="P173" s="22">
        <v>0.05</v>
      </c>
      <c r="Q173" s="45">
        <f>R189</f>
        <v>146.61523132128272</v>
      </c>
      <c r="R173" s="12">
        <v>30</v>
      </c>
      <c r="S173" s="10">
        <v>70</v>
      </c>
      <c r="T173" s="12">
        <v>40</v>
      </c>
      <c r="U173" s="10">
        <v>49</v>
      </c>
      <c r="V173" s="12">
        <v>52</v>
      </c>
      <c r="W173" s="15"/>
      <c r="X173" s="85">
        <f t="shared" si="1"/>
        <v>0.25236122922945636</v>
      </c>
      <c r="Y173" s="85"/>
      <c r="Z173" s="74">
        <f t="shared" si="2"/>
        <v>0.52857142857142858</v>
      </c>
      <c r="AA173" s="74"/>
      <c r="AB173" s="74">
        <f t="shared" si="3"/>
        <v>0.75510204081632648</v>
      </c>
      <c r="AC173" s="74"/>
      <c r="AD173" s="89">
        <f t="shared" si="4"/>
        <v>0.47744016340707962</v>
      </c>
      <c r="AE173" s="89"/>
      <c r="AF173" s="86">
        <f t="shared" si="0"/>
        <v>0.33420811438495573</v>
      </c>
      <c r="AG173" s="87"/>
      <c r="AH173" s="71">
        <f t="shared" si="5"/>
        <v>0.7</v>
      </c>
      <c r="AI173" s="71"/>
      <c r="AK173">
        <v>169</v>
      </c>
      <c r="AL173" s="34">
        <f>$AK173*AD173</f>
        <v>80.687387615796453</v>
      </c>
      <c r="AM173" s="34">
        <f>$AK173*AF173</f>
        <v>56.481171331057517</v>
      </c>
    </row>
    <row r="174" spans="15:39" x14ac:dyDescent="0.25">
      <c r="O174" s="10">
        <v>50</v>
      </c>
      <c r="P174" s="13">
        <v>6.6666666666666666E-2</v>
      </c>
      <c r="Q174" s="10"/>
      <c r="R174" s="12"/>
      <c r="S174" s="10">
        <v>90</v>
      </c>
      <c r="T174" s="12">
        <v>43</v>
      </c>
      <c r="U174" s="10">
        <v>65</v>
      </c>
      <c r="V174" s="12">
        <v>54</v>
      </c>
      <c r="W174" s="15"/>
      <c r="X174" s="74"/>
      <c r="Y174" s="74"/>
      <c r="Z174" s="74">
        <f t="shared" si="2"/>
        <v>0.55555555555555558</v>
      </c>
      <c r="AA174" s="74"/>
      <c r="AB174" s="74">
        <f t="shared" si="3"/>
        <v>0.76923076923076927</v>
      </c>
      <c r="AC174" s="74"/>
      <c r="AD174" s="71"/>
      <c r="AE174" s="71"/>
      <c r="AF174" s="71"/>
      <c r="AG174" s="71"/>
      <c r="AH174" s="71">
        <f t="shared" si="5"/>
        <v>0.72222222222222221</v>
      </c>
      <c r="AI174" s="71"/>
    </row>
    <row r="175" spans="15:39" x14ac:dyDescent="0.25">
      <c r="O175" s="10">
        <v>125</v>
      </c>
      <c r="P175" s="13">
        <v>0.16666666666666666</v>
      </c>
      <c r="Q175" s="10"/>
      <c r="R175" s="12"/>
      <c r="S175" s="10">
        <v>202</v>
      </c>
      <c r="T175" s="12">
        <v>51</v>
      </c>
      <c r="U175" s="10">
        <v>155</v>
      </c>
      <c r="V175" s="12">
        <v>64</v>
      </c>
      <c r="W175" s="15"/>
      <c r="X175" s="74"/>
      <c r="Y175" s="74"/>
      <c r="Z175" s="74">
        <f t="shared" si="2"/>
        <v>0.61881188118811881</v>
      </c>
      <c r="AA175" s="74"/>
      <c r="AB175" s="74">
        <f t="shared" si="3"/>
        <v>0.80645161290322576</v>
      </c>
      <c r="AC175" s="74"/>
      <c r="AD175" s="71"/>
      <c r="AE175" s="71"/>
      <c r="AF175" s="71"/>
      <c r="AG175" s="71"/>
      <c r="AH175" s="71">
        <f t="shared" si="5"/>
        <v>0.76732673267326734</v>
      </c>
      <c r="AI175" s="71"/>
    </row>
    <row r="176" spans="15:39" x14ac:dyDescent="0.25">
      <c r="O176" s="10">
        <v>249</v>
      </c>
      <c r="P176" s="13">
        <v>0.33333333333333331</v>
      </c>
      <c r="Q176" s="10"/>
      <c r="R176" s="12"/>
      <c r="S176" s="10">
        <v>370</v>
      </c>
      <c r="T176" s="12">
        <v>57</v>
      </c>
      <c r="U176" s="10">
        <v>304</v>
      </c>
      <c r="V176" s="12">
        <v>71</v>
      </c>
      <c r="W176" s="15"/>
      <c r="X176" s="74"/>
      <c r="Y176" s="74"/>
      <c r="Z176" s="74">
        <f t="shared" si="2"/>
        <v>0.67297297297297298</v>
      </c>
      <c r="AA176" s="74"/>
      <c r="AB176" s="74">
        <f t="shared" si="3"/>
        <v>0.81907894736842102</v>
      </c>
      <c r="AC176" s="74"/>
      <c r="AD176" s="71"/>
      <c r="AE176" s="71"/>
      <c r="AF176" s="71"/>
      <c r="AG176" s="71"/>
      <c r="AH176" s="71">
        <f t="shared" si="5"/>
        <v>0.82162162162162167</v>
      </c>
      <c r="AI176" s="71"/>
    </row>
    <row r="177" spans="14:35" x14ac:dyDescent="0.25">
      <c r="O177" s="10">
        <v>373</v>
      </c>
      <c r="P177" s="13">
        <v>0.5</v>
      </c>
      <c r="Q177" s="10"/>
      <c r="R177" s="12"/>
      <c r="S177" s="10">
        <v>530</v>
      </c>
      <c r="T177" s="12">
        <v>60</v>
      </c>
      <c r="U177" s="10">
        <v>450</v>
      </c>
      <c r="V177" s="12">
        <v>75</v>
      </c>
      <c r="W177" s="15"/>
      <c r="X177" s="74"/>
      <c r="Y177" s="74"/>
      <c r="Z177" s="74">
        <f t="shared" si="2"/>
        <v>0.70377358490566033</v>
      </c>
      <c r="AA177" s="74"/>
      <c r="AB177" s="74">
        <f t="shared" si="3"/>
        <v>0.8288888888888889</v>
      </c>
      <c r="AC177" s="74"/>
      <c r="AD177" s="71"/>
      <c r="AE177" s="71"/>
      <c r="AF177" s="71"/>
      <c r="AG177" s="71"/>
      <c r="AH177" s="71">
        <f t="shared" si="5"/>
        <v>0.84905660377358494</v>
      </c>
      <c r="AI177" s="71"/>
    </row>
    <row r="178" spans="14:35" x14ac:dyDescent="0.25">
      <c r="N178" s="5"/>
      <c r="O178" s="16"/>
      <c r="P178" s="16"/>
      <c r="Q178" s="16"/>
      <c r="R178" s="16"/>
      <c r="S178" s="16"/>
      <c r="T178" s="16"/>
      <c r="U178" s="16"/>
      <c r="V178" s="16"/>
      <c r="W178" s="17" t="s">
        <v>153</v>
      </c>
      <c r="X178" s="72" t="str">
        <f>TEXT(MIN(X168:X172),"0.0%")&amp;" to "&amp;TEXT(MAX(X168:X172),"0.0%")</f>
        <v>15.0% to 22.7%</v>
      </c>
      <c r="Y178" s="72"/>
      <c r="Z178" s="72" t="str">
        <f>TEXT(MIN(Z168:Z177),"0.0%")&amp;" to "&amp;TEXT(MAX(Z168:Z177),"0.0%")</f>
        <v>40.0% to 70.4%</v>
      </c>
      <c r="AA178" s="72"/>
      <c r="AB178" s="72" t="str">
        <f>TEXT(MIN(AB168:AB177),"0.0%")&amp;" to "&amp;TEXT(MAX(AB168:AB177),"0.0%")</f>
        <v>70.6% to 82.9%</v>
      </c>
      <c r="AC178" s="72"/>
      <c r="AD178" s="72" t="str">
        <f>TEXT(MIN(AD168:AD177),"0.000")&amp;" to "&amp;TEXT(MAX(AD168:AD177),"0.000")</f>
        <v>0.375 to 0.477</v>
      </c>
      <c r="AE178" s="72"/>
      <c r="AF178" s="72" t="str">
        <f>TEXT(MIN(AF168:AF177),"0.000")&amp;" to "&amp;TEXT(MAX(AF168:AF177),"0.000")</f>
        <v>0.213 to 0.334</v>
      </c>
      <c r="AG178" s="72"/>
      <c r="AH178" s="72" t="str">
        <f>TEXT(MIN(AH168:AH177),"0.000")&amp;" to "&amp;TEXT(MAX(AH168:AH177),"0.000")</f>
        <v>0.567 to 0.849</v>
      </c>
      <c r="AI178" s="72"/>
    </row>
    <row r="179" spans="14:35" x14ac:dyDescent="0.25">
      <c r="O179" s="5"/>
      <c r="P179" s="29" t="s">
        <v>156</v>
      </c>
      <c r="Q179" s="5"/>
      <c r="R179" s="5"/>
      <c r="S179" s="5"/>
      <c r="T179" s="5"/>
      <c r="U179" s="5"/>
      <c r="V179" s="5"/>
      <c r="W179" s="5"/>
    </row>
    <row r="180" spans="14:35" x14ac:dyDescent="0.25">
      <c r="P180" s="30" t="s">
        <v>157</v>
      </c>
    </row>
    <row r="181" spans="14:35" x14ac:dyDescent="0.25">
      <c r="P181" s="33" t="s">
        <v>175</v>
      </c>
    </row>
    <row r="182" spans="14:35" x14ac:dyDescent="0.25">
      <c r="N182" t="s">
        <v>174</v>
      </c>
      <c r="P182" s="70" t="s">
        <v>176</v>
      </c>
      <c r="Q182" s="70"/>
      <c r="R182" s="70" t="s">
        <v>177</v>
      </c>
      <c r="S182" s="70"/>
      <c r="T182" t="s">
        <v>182</v>
      </c>
    </row>
    <row r="183" spans="14:35" x14ac:dyDescent="0.25">
      <c r="O183" t="s">
        <v>149</v>
      </c>
      <c r="P183" s="39" t="s">
        <v>178</v>
      </c>
      <c r="Q183" s="39" t="s">
        <v>179</v>
      </c>
      <c r="R183" s="39" t="s">
        <v>178</v>
      </c>
      <c r="S183" s="39" t="s">
        <v>179</v>
      </c>
      <c r="T183" s="39" t="s">
        <v>178</v>
      </c>
      <c r="U183" s="39" t="s">
        <v>179</v>
      </c>
    </row>
    <row r="184" spans="14:35" x14ac:dyDescent="0.25">
      <c r="O184" s="10">
        <v>6</v>
      </c>
      <c r="P184" s="34">
        <f>0.0093*O184^2+3.8896*O184+17.802</f>
        <v>41.474400000000003</v>
      </c>
      <c r="Q184" s="35">
        <f>O184/P184</f>
        <v>0.14466755396099762</v>
      </c>
      <c r="R184" s="40">
        <f>O184/S184</f>
        <v>40.308734324279079</v>
      </c>
      <c r="S184" s="41">
        <f>0.0569*LN(O184)+0.0469</f>
        <v>0.14885111379907634</v>
      </c>
    </row>
    <row r="185" spans="14:35" x14ac:dyDescent="0.25">
      <c r="O185" s="10">
        <v>9</v>
      </c>
      <c r="P185" s="34">
        <f t="shared" ref="P185:P193" si="7">0.0093*O185^2+3.8896*O185+17.802</f>
        <v>53.561700000000002</v>
      </c>
      <c r="Q185" s="35">
        <f t="shared" ref="Q185:Q193" si="8">O185/P185</f>
        <v>0.1680305143414044</v>
      </c>
      <c r="R185" s="42">
        <f t="shared" ref="R185:R193" si="9">O185/S185</f>
        <v>52.349297316079785</v>
      </c>
      <c r="S185" s="43">
        <f t="shared" ref="S185:S193" si="10">0.0569*LN(O185)+0.0469</f>
        <v>0.17192207845043089</v>
      </c>
    </row>
    <row r="186" spans="14:35" x14ac:dyDescent="0.25">
      <c r="O186" s="10">
        <v>15</v>
      </c>
      <c r="P186" s="34">
        <f t="shared" si="7"/>
        <v>78.238500000000002</v>
      </c>
      <c r="Q186" s="35">
        <f t="shared" si="8"/>
        <v>0.19172146705266588</v>
      </c>
      <c r="R186" s="42">
        <f t="shared" si="9"/>
        <v>74.631300314480114</v>
      </c>
      <c r="S186" s="43">
        <f t="shared" si="10"/>
        <v>0.20098805644271575</v>
      </c>
    </row>
    <row r="187" spans="14:35" x14ac:dyDescent="0.25">
      <c r="O187" s="10">
        <v>20</v>
      </c>
      <c r="P187" s="34">
        <f t="shared" si="7"/>
        <v>99.313999999999993</v>
      </c>
      <c r="Q187" s="35">
        <f t="shared" si="8"/>
        <v>0.20138147693175182</v>
      </c>
      <c r="R187" s="42">
        <f t="shared" si="9"/>
        <v>92.014449463305439</v>
      </c>
      <c r="S187" s="43">
        <f t="shared" si="10"/>
        <v>0.21735716636522207</v>
      </c>
      <c r="T187">
        <f>Q144</f>
        <v>90</v>
      </c>
      <c r="U187" s="35">
        <f>$O187/$T187</f>
        <v>0.22222222222222221</v>
      </c>
    </row>
    <row r="188" spans="14:35" x14ac:dyDescent="0.25">
      <c r="O188" s="10">
        <v>25</v>
      </c>
      <c r="P188" s="34">
        <f t="shared" si="7"/>
        <v>120.8545</v>
      </c>
      <c r="Q188" s="35">
        <f t="shared" si="8"/>
        <v>0.20686031550335321</v>
      </c>
      <c r="R188" s="42">
        <f t="shared" si="9"/>
        <v>108.67012204936354</v>
      </c>
      <c r="S188" s="43">
        <f t="shared" si="10"/>
        <v>0.23005403443500061</v>
      </c>
    </row>
    <row r="189" spans="14:35" x14ac:dyDescent="0.25">
      <c r="O189" s="10">
        <v>37</v>
      </c>
      <c r="P189" s="34">
        <f t="shared" si="7"/>
        <v>174.44889999999998</v>
      </c>
      <c r="Q189" s="35">
        <f t="shared" si="8"/>
        <v>0.21209649358637403</v>
      </c>
      <c r="R189" s="46">
        <f t="shared" si="9"/>
        <v>146.61523132128272</v>
      </c>
      <c r="S189" s="43">
        <f t="shared" si="10"/>
        <v>0.25236122922945636</v>
      </c>
      <c r="T189">
        <f>T144</f>
        <v>100</v>
      </c>
      <c r="U189" s="35">
        <f>$O189/$T189</f>
        <v>0.37</v>
      </c>
    </row>
    <row r="190" spans="14:35" x14ac:dyDescent="0.25">
      <c r="O190" s="10">
        <v>50</v>
      </c>
      <c r="P190" s="34">
        <f t="shared" si="7"/>
        <v>235.53200000000001</v>
      </c>
      <c r="Q190" s="35">
        <f t="shared" si="8"/>
        <v>0.21228537948134435</v>
      </c>
      <c r="R190" s="42">
        <f t="shared" si="9"/>
        <v>185.53281251263232</v>
      </c>
      <c r="S190" s="43">
        <f t="shared" si="10"/>
        <v>0.2694941090088615</v>
      </c>
    </row>
    <row r="191" spans="14:35" x14ac:dyDescent="0.25">
      <c r="O191" s="10">
        <v>125</v>
      </c>
      <c r="P191" s="34">
        <f t="shared" si="7"/>
        <v>649.31450000000007</v>
      </c>
      <c r="Q191" s="35">
        <f t="shared" si="8"/>
        <v>0.19251071707161935</v>
      </c>
      <c r="R191" s="42">
        <f t="shared" si="9"/>
        <v>388.64406703819583</v>
      </c>
      <c r="S191" s="43">
        <f t="shared" si="10"/>
        <v>0.32163105165250094</v>
      </c>
    </row>
    <row r="192" spans="14:35" x14ac:dyDescent="0.25">
      <c r="O192" s="10">
        <v>249</v>
      </c>
      <c r="P192" s="34">
        <f t="shared" si="7"/>
        <v>1562.9216999999999</v>
      </c>
      <c r="Q192" s="35">
        <f t="shared" si="8"/>
        <v>0.159317002252896</v>
      </c>
      <c r="R192" s="42">
        <f t="shared" si="9"/>
        <v>690.05066421785182</v>
      </c>
      <c r="S192" s="43">
        <f t="shared" si="10"/>
        <v>0.36084306980884184</v>
      </c>
    </row>
    <row r="193" spans="15:33" x14ac:dyDescent="0.25">
      <c r="O193" s="10">
        <v>373</v>
      </c>
      <c r="P193" s="37">
        <f t="shared" si="7"/>
        <v>2762.5225</v>
      </c>
      <c r="Q193" s="38">
        <f t="shared" si="8"/>
        <v>0.13502152471156342</v>
      </c>
      <c r="R193" s="37">
        <f t="shared" si="9"/>
        <v>971.76460542261987</v>
      </c>
      <c r="S193" s="44">
        <f t="shared" si="10"/>
        <v>0.3838378120777331</v>
      </c>
    </row>
    <row r="194" spans="15:33" x14ac:dyDescent="0.25">
      <c r="O194" t="s">
        <v>180</v>
      </c>
      <c r="P194" s="36">
        <f t="array" ref="P194">SUMSQ((P$184:P$188-$Q$168:$Q$172))</f>
        <v>217.54801074999995</v>
      </c>
      <c r="Q194" s="36">
        <f t="array" ref="Q194">SUMSQ((Q$184:Q$188-$X$168:$X$172))</f>
        <v>9.5114357850540829E-4</v>
      </c>
      <c r="R194" s="36">
        <f t="array" ref="R194">SUMSQ((R$184:R$188-$Q$168:$Q$172))</f>
        <v>6.4812523277520926</v>
      </c>
      <c r="S194" s="36">
        <f t="array" ref="S194">SUMSQ((S$184:S$188-$X$168:$X$172))</f>
        <v>3.8155931109324831E-5</v>
      </c>
    </row>
    <row r="197" spans="15:33" x14ac:dyDescent="0.25">
      <c r="O197" t="s">
        <v>162</v>
      </c>
    </row>
    <row r="198" spans="15:33" x14ac:dyDescent="0.25">
      <c r="R198" s="69" t="s">
        <v>152</v>
      </c>
      <c r="S198" s="69"/>
      <c r="T198" s="69"/>
      <c r="U198" s="69"/>
      <c r="V198" s="69" t="s">
        <v>146</v>
      </c>
      <c r="W198" s="69"/>
      <c r="X198" s="69"/>
      <c r="Y198" s="69"/>
      <c r="Z198" s="69" t="s">
        <v>147</v>
      </c>
      <c r="AA198" s="69"/>
      <c r="AB198" s="69"/>
      <c r="AC198" s="69"/>
      <c r="AD198" s="72" t="s">
        <v>160</v>
      </c>
      <c r="AE198" s="72"/>
      <c r="AF198" s="72"/>
      <c r="AG198" s="72"/>
    </row>
    <row r="199" spans="15:33" ht="15" customHeight="1" x14ac:dyDescent="0.25">
      <c r="O199" s="73" t="s">
        <v>164</v>
      </c>
      <c r="P199" s="69"/>
      <c r="Q199" s="73" t="s">
        <v>163</v>
      </c>
      <c r="R199" s="69" t="s">
        <v>165</v>
      </c>
      <c r="S199" s="69"/>
      <c r="T199" s="73" t="s">
        <v>166</v>
      </c>
      <c r="U199" s="73"/>
      <c r="V199" s="69" t="s">
        <v>165</v>
      </c>
      <c r="W199" s="69"/>
      <c r="X199" s="73" t="s">
        <v>166</v>
      </c>
      <c r="Y199" s="73"/>
      <c r="Z199" s="69" t="s">
        <v>165</v>
      </c>
      <c r="AA199" s="69"/>
      <c r="AB199" s="73" t="s">
        <v>166</v>
      </c>
      <c r="AC199" s="73"/>
      <c r="AD199" s="72" t="s">
        <v>146</v>
      </c>
      <c r="AE199" s="72"/>
      <c r="AF199" s="72" t="s">
        <v>147</v>
      </c>
      <c r="AG199" s="72"/>
    </row>
    <row r="200" spans="15:33" x14ac:dyDescent="0.25">
      <c r="O200" s="69"/>
      <c r="P200" s="69"/>
      <c r="Q200" s="73"/>
      <c r="R200" s="69"/>
      <c r="S200" s="69"/>
      <c r="T200" s="73"/>
      <c r="U200" s="73"/>
      <c r="V200" s="69"/>
      <c r="W200" s="69"/>
      <c r="X200" s="73"/>
      <c r="Y200" s="73"/>
      <c r="Z200" s="69"/>
      <c r="AA200" s="69"/>
      <c r="AB200" s="73"/>
      <c r="AC200" s="73"/>
      <c r="AD200" s="72"/>
      <c r="AE200" s="72"/>
      <c r="AF200" s="72"/>
      <c r="AG200" s="72"/>
    </row>
    <row r="201" spans="15:33" x14ac:dyDescent="0.25">
      <c r="O201" s="69">
        <v>6</v>
      </c>
      <c r="P201" s="69"/>
      <c r="Q201" s="10">
        <v>85</v>
      </c>
      <c r="R201" s="10"/>
      <c r="S201" s="10"/>
      <c r="T201" s="47">
        <v>3400</v>
      </c>
      <c r="U201" s="48">
        <f t="shared" ref="U201:U203" si="11">T201/$Q201</f>
        <v>40</v>
      </c>
      <c r="V201" s="10"/>
      <c r="W201" s="10"/>
      <c r="X201" s="47">
        <v>1275</v>
      </c>
      <c r="Y201" s="48">
        <f>X201/$Q201</f>
        <v>15</v>
      </c>
      <c r="Z201" s="10"/>
      <c r="AA201" s="10"/>
      <c r="AB201" s="47">
        <v>720</v>
      </c>
      <c r="AC201" s="48">
        <f>AB201/$Q201</f>
        <v>8.4705882352941178</v>
      </c>
      <c r="AD201" s="71">
        <f>$X201/$T201</f>
        <v>0.375</v>
      </c>
      <c r="AE201" s="71"/>
      <c r="AF201" s="67">
        <f>$AB201/$T201</f>
        <v>0.21176470588235294</v>
      </c>
      <c r="AG201" s="68"/>
    </row>
    <row r="202" spans="15:33" x14ac:dyDescent="0.25">
      <c r="O202" s="69">
        <v>9</v>
      </c>
      <c r="P202" s="69"/>
      <c r="Q202" s="10">
        <v>100</v>
      </c>
      <c r="R202" s="10"/>
      <c r="S202" s="10"/>
      <c r="T202" s="47">
        <v>5300</v>
      </c>
      <c r="U202" s="48">
        <f t="shared" si="11"/>
        <v>53</v>
      </c>
      <c r="V202" s="10"/>
      <c r="W202" s="10"/>
      <c r="X202" s="47">
        <v>2100</v>
      </c>
      <c r="Y202" s="48">
        <f>X202/$Q202</f>
        <v>21</v>
      </c>
      <c r="Z202" s="10"/>
      <c r="AA202" s="10"/>
      <c r="AB202" s="47">
        <v>1250</v>
      </c>
      <c r="AC202" s="48">
        <f t="shared" ref="AC202:AC203" si="12">AB202/$Q202</f>
        <v>12.5</v>
      </c>
      <c r="AD202" s="71">
        <f>$X202/$T202</f>
        <v>0.39622641509433965</v>
      </c>
      <c r="AE202" s="71"/>
      <c r="AF202" s="67">
        <f t="shared" ref="AF202:AF204" si="13">$AB202/$T202</f>
        <v>0.23584905660377359</v>
      </c>
      <c r="AG202" s="68"/>
    </row>
    <row r="203" spans="15:33" x14ac:dyDescent="0.25">
      <c r="O203" s="69">
        <v>25</v>
      </c>
      <c r="P203" s="69"/>
      <c r="Q203" s="10">
        <v>40</v>
      </c>
      <c r="R203" s="10"/>
      <c r="S203" s="10"/>
      <c r="T203" s="47">
        <v>4400</v>
      </c>
      <c r="U203" s="48">
        <f t="shared" si="11"/>
        <v>110</v>
      </c>
      <c r="V203" s="10"/>
      <c r="W203" s="10"/>
      <c r="X203" s="47">
        <v>2040</v>
      </c>
      <c r="Y203" s="48">
        <f>X203/$Q203</f>
        <v>51</v>
      </c>
      <c r="Z203" s="10"/>
      <c r="AA203" s="10"/>
      <c r="AB203" s="47">
        <v>1320</v>
      </c>
      <c r="AC203" s="48">
        <f t="shared" si="12"/>
        <v>33</v>
      </c>
      <c r="AD203" s="71">
        <f>$X203/$T203</f>
        <v>0.46363636363636362</v>
      </c>
      <c r="AE203" s="71"/>
      <c r="AF203" s="67">
        <f t="shared" si="13"/>
        <v>0.3</v>
      </c>
      <c r="AG203" s="68"/>
    </row>
    <row r="204" spans="15:33" x14ac:dyDescent="0.25">
      <c r="O204" s="70" t="s">
        <v>167</v>
      </c>
      <c r="P204" s="70"/>
      <c r="T204" s="9">
        <v>13100</v>
      </c>
      <c r="U204" s="9"/>
      <c r="X204" s="9">
        <v>5400</v>
      </c>
      <c r="Y204" s="9"/>
      <c r="AB204" s="9">
        <v>3290</v>
      </c>
      <c r="AC204" s="31"/>
      <c r="AD204" s="71">
        <f>$X204/$T204</f>
        <v>0.41221374045801529</v>
      </c>
      <c r="AE204" s="71"/>
      <c r="AF204" s="67">
        <f t="shared" si="13"/>
        <v>0.25114503816793893</v>
      </c>
      <c r="AG204" s="68"/>
    </row>
    <row r="206" spans="15:33" x14ac:dyDescent="0.25">
      <c r="AD206" t="s">
        <v>168</v>
      </c>
    </row>
    <row r="207" spans="15:33" x14ac:dyDescent="0.25">
      <c r="AD207" s="14">
        <f>AVERAGE(AD201:AE203)</f>
        <v>0.41162092624356772</v>
      </c>
      <c r="AF207" s="14">
        <f>AVERAGE(AF201:AG203)</f>
        <v>0.24920458749537552</v>
      </c>
    </row>
    <row r="219" spans="2:2" ht="20.25" thickBot="1" x14ac:dyDescent="0.35">
      <c r="B219" s="8" t="s">
        <v>129</v>
      </c>
    </row>
    <row r="220" spans="2:2" ht="15.75" thickTop="1" x14ac:dyDescent="0.25">
      <c r="B220" s="32" t="s">
        <v>173</v>
      </c>
    </row>
  </sheetData>
  <mergeCells count="139">
    <mergeCell ref="O142:P142"/>
    <mergeCell ref="O143:P143"/>
    <mergeCell ref="O144:P144"/>
    <mergeCell ref="O145:P145"/>
    <mergeCell ref="O146:P146"/>
    <mergeCell ref="X168:Y168"/>
    <mergeCell ref="X169:Y169"/>
    <mergeCell ref="X170:Y170"/>
    <mergeCell ref="X171:Y171"/>
    <mergeCell ref="X165:AC165"/>
    <mergeCell ref="Z168:AA168"/>
    <mergeCell ref="AB168:AC168"/>
    <mergeCell ref="Z169:AA169"/>
    <mergeCell ref="AB169:AC169"/>
    <mergeCell ref="Z170:AA170"/>
    <mergeCell ref="X166:Y167"/>
    <mergeCell ref="Z166:AA167"/>
    <mergeCell ref="AB166:AC167"/>
    <mergeCell ref="T147:V147"/>
    <mergeCell ref="AB170:AC170"/>
    <mergeCell ref="Z171:AA171"/>
    <mergeCell ref="AB171:AC171"/>
    <mergeCell ref="T154:V154"/>
    <mergeCell ref="Q154:S154"/>
    <mergeCell ref="AH166:AI167"/>
    <mergeCell ref="AH165:AI165"/>
    <mergeCell ref="AF166:AG167"/>
    <mergeCell ref="AD165:AG165"/>
    <mergeCell ref="T140:V140"/>
    <mergeCell ref="O165:O167"/>
    <mergeCell ref="P165:P167"/>
    <mergeCell ref="Q165:R165"/>
    <mergeCell ref="S165:T165"/>
    <mergeCell ref="U165:V165"/>
    <mergeCell ref="Q166:Q167"/>
    <mergeCell ref="Q140:S140"/>
    <mergeCell ref="Q142:S142"/>
    <mergeCell ref="T142:V142"/>
    <mergeCell ref="Q143:S143"/>
    <mergeCell ref="T143:V143"/>
    <mergeCell ref="Q144:S144"/>
    <mergeCell ref="R166:R167"/>
    <mergeCell ref="S166:S167"/>
    <mergeCell ref="T166:T167"/>
    <mergeCell ref="U166:U167"/>
    <mergeCell ref="V166:V167"/>
    <mergeCell ref="O147:P147"/>
    <mergeCell ref="Q141:V141"/>
    <mergeCell ref="AH168:AI168"/>
    <mergeCell ref="AH169:AI169"/>
    <mergeCell ref="AF173:AG173"/>
    <mergeCell ref="AF174:AG174"/>
    <mergeCell ref="AD168:AE168"/>
    <mergeCell ref="AD169:AE169"/>
    <mergeCell ref="AD170:AE170"/>
    <mergeCell ref="AD171:AE171"/>
    <mergeCell ref="AD172:AE172"/>
    <mergeCell ref="AD173:AE173"/>
    <mergeCell ref="AD174:AE174"/>
    <mergeCell ref="AF168:AG168"/>
    <mergeCell ref="AF169:AG169"/>
    <mergeCell ref="AF170:AG170"/>
    <mergeCell ref="AF171:AG171"/>
    <mergeCell ref="AF172:AG172"/>
    <mergeCell ref="AH170:AI170"/>
    <mergeCell ref="AH171:AI171"/>
    <mergeCell ref="AD166:AE167"/>
    <mergeCell ref="T144:V144"/>
    <mergeCell ref="Q145:S145"/>
    <mergeCell ref="T145:V145"/>
    <mergeCell ref="Q146:S146"/>
    <mergeCell ref="T146:V146"/>
    <mergeCell ref="Q147:S147"/>
    <mergeCell ref="O199:P200"/>
    <mergeCell ref="R199:S200"/>
    <mergeCell ref="P182:Q182"/>
    <mergeCell ref="R182:S182"/>
    <mergeCell ref="Z176:AA176"/>
    <mergeCell ref="AB176:AC176"/>
    <mergeCell ref="X172:Y172"/>
    <mergeCell ref="X173:Y173"/>
    <mergeCell ref="X174:Y174"/>
    <mergeCell ref="X175:Y175"/>
    <mergeCell ref="X176:Y176"/>
    <mergeCell ref="X177:Y177"/>
    <mergeCell ref="Z174:AA174"/>
    <mergeCell ref="AB174:AC174"/>
    <mergeCell ref="Z175:AA175"/>
    <mergeCell ref="AB175:AC175"/>
    <mergeCell ref="Z172:AA172"/>
    <mergeCell ref="AB172:AC172"/>
    <mergeCell ref="Z173:AA173"/>
    <mergeCell ref="AB173:AC173"/>
    <mergeCell ref="AH178:AI178"/>
    <mergeCell ref="AH173:AI173"/>
    <mergeCell ref="AH174:AI174"/>
    <mergeCell ref="AH175:AI175"/>
    <mergeCell ref="AH176:AI176"/>
    <mergeCell ref="AH177:AI177"/>
    <mergeCell ref="AH172:AI172"/>
    <mergeCell ref="AB199:AC200"/>
    <mergeCell ref="Q199:Q200"/>
    <mergeCell ref="AF175:AG175"/>
    <mergeCell ref="AF176:AG176"/>
    <mergeCell ref="AF177:AG177"/>
    <mergeCell ref="AF178:AG178"/>
    <mergeCell ref="AD175:AE175"/>
    <mergeCell ref="AD176:AE176"/>
    <mergeCell ref="AD177:AE177"/>
    <mergeCell ref="AD178:AE178"/>
    <mergeCell ref="X178:Y178"/>
    <mergeCell ref="Z178:AA178"/>
    <mergeCell ref="AB178:AC178"/>
    <mergeCell ref="Z177:AA177"/>
    <mergeCell ref="AB177:AC177"/>
    <mergeCell ref="Y154:Z154"/>
    <mergeCell ref="W154:X154"/>
    <mergeCell ref="AF203:AG203"/>
    <mergeCell ref="AF204:AG204"/>
    <mergeCell ref="O201:P201"/>
    <mergeCell ref="O202:P202"/>
    <mergeCell ref="O203:P203"/>
    <mergeCell ref="O204:P204"/>
    <mergeCell ref="AD203:AE203"/>
    <mergeCell ref="AD204:AE204"/>
    <mergeCell ref="Z198:AC198"/>
    <mergeCell ref="V198:Y198"/>
    <mergeCell ref="R198:U198"/>
    <mergeCell ref="AD198:AG198"/>
    <mergeCell ref="AD199:AE200"/>
    <mergeCell ref="AF199:AG200"/>
    <mergeCell ref="AD201:AE201"/>
    <mergeCell ref="AD202:AE202"/>
    <mergeCell ref="AF201:AG201"/>
    <mergeCell ref="AF202:AG202"/>
    <mergeCell ref="T199:U200"/>
    <mergeCell ref="V199:W200"/>
    <mergeCell ref="X199:Y200"/>
    <mergeCell ref="Z199:AA200"/>
  </mergeCells>
  <hyperlinks>
    <hyperlink ref="B4" r:id="rId1" xr:uid="{A7578F20-B160-4BF6-9579-17FE3F0AB2CA}"/>
    <hyperlink ref="B220" r:id="rId2" xr:uid="{EB7CEA49-0FC6-4CDA-B7A2-869D2BC69B41}"/>
  </hyperlinks>
  <pageMargins left="0.7" right="0.7" top="0.75" bottom="0.75" header="0.3" footer="0.3"/>
  <pageSetup orientation="portrait" r:id="rId3"/>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2C3AC9A36A9244297F35F51B8D36EF7" ma:contentTypeVersion="13" ma:contentTypeDescription="Create a new document." ma:contentTypeScope="" ma:versionID="6f49e53e674e3a86091d99f71c3ab48d">
  <xsd:schema xmlns:xsd="http://www.w3.org/2001/XMLSchema" xmlns:xs="http://www.w3.org/2001/XMLSchema" xmlns:p="http://schemas.microsoft.com/office/2006/metadata/properties" xmlns:ns3="303a14a2-4e62-41ba-8047-86e7d25f5484" xmlns:ns4="bd496eee-3dc7-4d3d-ab7e-3a217fe1f2c4" targetNamespace="http://schemas.microsoft.com/office/2006/metadata/properties" ma:root="true" ma:fieldsID="cbe38d77b6e0e8f2b6f4ca0e130d3d6d" ns3:_="" ns4:_="">
    <xsd:import namespace="303a14a2-4e62-41ba-8047-86e7d25f5484"/>
    <xsd:import namespace="bd496eee-3dc7-4d3d-ab7e-3a217fe1f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a14a2-4e62-41ba-8047-86e7d25f54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d496eee-3dc7-4d3d-ab7e-3a217fe1f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A3B88E-80BA-423E-95F4-B18A1EBF04E4}">
  <ds:schemaRefs>
    <ds:schemaRef ds:uri="http://schemas.microsoft.com/sharepoint/v3/contenttype/forms"/>
  </ds:schemaRefs>
</ds:datastoreItem>
</file>

<file path=customXml/itemProps2.xml><?xml version="1.0" encoding="utf-8"?>
<ds:datastoreItem xmlns:ds="http://schemas.openxmlformats.org/officeDocument/2006/customXml" ds:itemID="{362F98DA-70C4-4638-AF84-EBC5699E1EEA}">
  <ds:schemaRefs>
    <ds:schemaRef ds:uri="http://schemas.microsoft.com/office/2006/documentManagement/types"/>
    <ds:schemaRef ds:uri="http://purl.org/dc/terms/"/>
    <ds:schemaRef ds:uri="http://purl.org/dc/dcmitype/"/>
    <ds:schemaRef ds:uri="http://schemas.openxmlformats.org/package/2006/metadata/core-properties"/>
    <ds:schemaRef ds:uri="http://purl.org/dc/elements/1.1/"/>
    <ds:schemaRef ds:uri="http://schemas.microsoft.com/office/infopath/2007/PartnerControls"/>
    <ds:schemaRef ds:uri="bd496eee-3dc7-4d3d-ab7e-3a217fe1f2c4"/>
    <ds:schemaRef ds:uri="303a14a2-4e62-41ba-8047-86e7d25f548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BF7AA81-F711-4555-A696-0468EDB427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a14a2-4e62-41ba-8047-86e7d25f5484"/>
    <ds:schemaRef ds:uri="bd496eee-3dc7-4d3d-ab7e-3a217fe1f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SCE 2018 draft workpaper models</vt:lpstr>
      <vt:lpstr>ADL 1996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Fette</dc:creator>
  <cp:lastModifiedBy>Akhilesh Endurthy</cp:lastModifiedBy>
  <cp:lastPrinted>2019-08-09T23:57:32Z</cp:lastPrinted>
  <dcterms:created xsi:type="dcterms:W3CDTF">2019-08-07T22:19:46Z</dcterms:created>
  <dcterms:modified xsi:type="dcterms:W3CDTF">2019-09-06T23:57:51Z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0x010100C2C3AC9A36A9244297F35F51B8D36EF7</vt:lpwstr>
  </property>
</Properties>
</file>